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60" yWindow="200" windowWidth="25640" windowHeight="15580"/>
  </bookViews>
  <sheets>
    <sheet name="Statistics" sheetId="1" r:id="rId1"/>
    <sheet name="1989" sheetId="2" r:id="rId2"/>
    <sheet name="1990" sheetId="3" r:id="rId3"/>
    <sheet name="1991" sheetId="4" r:id="rId4"/>
    <sheet name="1992" sheetId="5" r:id="rId5"/>
    <sheet name="1993" sheetId="6" r:id="rId6"/>
    <sheet name="1994" sheetId="7" r:id="rId7"/>
    <sheet name="1995" sheetId="8" r:id="rId8"/>
    <sheet name="1996" sheetId="9" r:id="rId9"/>
    <sheet name="1997" sheetId="10" r:id="rId10"/>
    <sheet name="1998" sheetId="11" r:id="rId11"/>
    <sheet name="1999" sheetId="12" r:id="rId12"/>
    <sheet name="2000" sheetId="13" r:id="rId13"/>
    <sheet name="2001" sheetId="14" r:id="rId14"/>
    <sheet name="2002" sheetId="15" r:id="rId15"/>
    <sheet name="2003" sheetId="16" r:id="rId16"/>
    <sheet name="2004" sheetId="17" r:id="rId17"/>
    <sheet name="2005 (3d Cir)" sheetId="18" r:id="rId18"/>
    <sheet name="2005 (S.Ct.)" sheetId="25" r:id="rId19"/>
    <sheet name="2006" sheetId="20" r:id="rId20"/>
    <sheet name="2007" sheetId="21" r:id="rId21"/>
    <sheet name="2008" sheetId="22" r:id="rId22"/>
    <sheet name="2009" sheetId="23" r:id="rId23"/>
    <sheet name="2010" sheetId="24" r:id="rId2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25" l="1"/>
  <c r="D26" i="1"/>
  <c r="A2" i="20"/>
  <c r="D27" i="1"/>
  <c r="A2" i="21"/>
  <c r="D28" i="1"/>
  <c r="A2" i="22"/>
  <c r="D29" i="1"/>
  <c r="A2" i="23"/>
  <c r="D30" i="1"/>
  <c r="A2" i="24"/>
  <c r="D31" i="1"/>
  <c r="D32" i="1"/>
  <c r="D21" i="2"/>
  <c r="C4" i="2"/>
  <c r="D6" i="1"/>
  <c r="D35" i="3"/>
  <c r="D39" i="3"/>
  <c r="C4" i="3"/>
  <c r="D7" i="1"/>
  <c r="D36" i="4"/>
  <c r="D40" i="4"/>
  <c r="C4" i="4"/>
  <c r="D8" i="1"/>
  <c r="D31" i="5"/>
  <c r="D34" i="5"/>
  <c r="C4" i="5"/>
  <c r="D9" i="1"/>
  <c r="D39" i="6"/>
  <c r="D43" i="6"/>
  <c r="C4" i="6"/>
  <c r="D10" i="1"/>
  <c r="D26" i="7"/>
  <c r="D31" i="7"/>
  <c r="C4" i="7"/>
  <c r="D11" i="1"/>
  <c r="D29" i="8"/>
  <c r="D33" i="8"/>
  <c r="C4" i="8"/>
  <c r="D12" i="1"/>
  <c r="D31" i="9"/>
  <c r="D35" i="9"/>
  <c r="C4" i="9"/>
  <c r="D13" i="1"/>
  <c r="D29" i="10"/>
  <c r="D35" i="10"/>
  <c r="C4" i="10"/>
  <c r="D14" i="1"/>
  <c r="D41" i="11"/>
  <c r="D46" i="11"/>
  <c r="C4" i="11"/>
  <c r="D15" i="1"/>
  <c r="D34" i="12"/>
  <c r="D39" i="12"/>
  <c r="C4" i="12"/>
  <c r="D16" i="1"/>
  <c r="D35" i="13"/>
  <c r="D41" i="13"/>
  <c r="C4" i="13"/>
  <c r="D17" i="1"/>
  <c r="D37" i="14"/>
  <c r="D45" i="14"/>
  <c r="C4" i="14"/>
  <c r="D18" i="1"/>
  <c r="D41" i="15"/>
  <c r="D44" i="15"/>
  <c r="C4" i="15"/>
  <c r="D19" i="1"/>
  <c r="D47" i="16"/>
  <c r="D21" i="16"/>
  <c r="C4" i="16"/>
  <c r="D20" i="1"/>
  <c r="D31" i="17"/>
  <c r="C4" i="17"/>
  <c r="D21" i="1"/>
  <c r="D22" i="18"/>
  <c r="C4" i="18"/>
  <c r="D22" i="1"/>
  <c r="D23" i="1"/>
  <c r="D35" i="1"/>
  <c r="D36" i="1"/>
  <c r="B2" i="25"/>
  <c r="E26" i="1"/>
  <c r="B2" i="20"/>
  <c r="E27" i="1"/>
  <c r="B2" i="21"/>
  <c r="E28" i="1"/>
  <c r="B2" i="22"/>
  <c r="E29" i="1"/>
  <c r="B2" i="23"/>
  <c r="E30" i="1"/>
  <c r="B2" i="24"/>
  <c r="E31" i="1"/>
  <c r="E32" i="1"/>
  <c r="C5" i="2"/>
  <c r="E6" i="1"/>
  <c r="C5" i="3"/>
  <c r="E7" i="1"/>
  <c r="E8" i="1"/>
  <c r="C5" i="5"/>
  <c r="E9" i="1"/>
  <c r="C5" i="6"/>
  <c r="E10" i="1"/>
  <c r="C5" i="7"/>
  <c r="E11" i="1"/>
  <c r="C5" i="8"/>
  <c r="E12" i="1"/>
  <c r="C5" i="9"/>
  <c r="E13" i="1"/>
  <c r="C5" i="10"/>
  <c r="E14" i="1"/>
  <c r="C5" i="11"/>
  <c r="E15" i="1"/>
  <c r="C5" i="12"/>
  <c r="E16" i="1"/>
  <c r="C5" i="13"/>
  <c r="E17" i="1"/>
  <c r="C5" i="14"/>
  <c r="E18" i="1"/>
  <c r="C5" i="15"/>
  <c r="E19" i="1"/>
  <c r="C5" i="16"/>
  <c r="E20" i="1"/>
  <c r="C5" i="17"/>
  <c r="E21" i="1"/>
  <c r="C5" i="18"/>
  <c r="E22" i="1"/>
  <c r="E23" i="1"/>
  <c r="E35" i="1"/>
  <c r="E36" i="1"/>
  <c r="F26" i="1"/>
  <c r="F27" i="1"/>
  <c r="F28" i="1"/>
  <c r="F29" i="1"/>
  <c r="C2" i="23"/>
  <c r="F30" i="1"/>
  <c r="F31" i="1"/>
  <c r="F32" i="1"/>
  <c r="F6" i="1"/>
  <c r="F7" i="1"/>
  <c r="F8" i="1"/>
  <c r="F9" i="1"/>
  <c r="F10" i="1"/>
  <c r="F11" i="1"/>
  <c r="F12" i="1"/>
  <c r="F13" i="1"/>
  <c r="F14" i="1"/>
  <c r="F15" i="1"/>
  <c r="F16" i="1"/>
  <c r="F17" i="1"/>
  <c r="F18" i="1"/>
  <c r="F19" i="1"/>
  <c r="F20" i="1"/>
  <c r="F21" i="1"/>
  <c r="F22" i="1"/>
  <c r="F23" i="1"/>
  <c r="F35" i="1"/>
  <c r="F36" i="1"/>
  <c r="G26" i="1"/>
  <c r="D2" i="20"/>
  <c r="G27" i="1"/>
  <c r="G28" i="1"/>
  <c r="G29" i="1"/>
  <c r="G30" i="1"/>
  <c r="G31" i="1"/>
  <c r="G32" i="1"/>
  <c r="G6" i="1"/>
  <c r="G7" i="1"/>
  <c r="G8" i="1"/>
  <c r="G9" i="1"/>
  <c r="G10" i="1"/>
  <c r="G11" i="1"/>
  <c r="G12" i="1"/>
  <c r="G13" i="1"/>
  <c r="G14" i="1"/>
  <c r="G15" i="1"/>
  <c r="G16" i="1"/>
  <c r="G17" i="1"/>
  <c r="G18" i="1"/>
  <c r="G19" i="1"/>
  <c r="G20" i="1"/>
  <c r="G21" i="1"/>
  <c r="G22" i="1"/>
  <c r="G23" i="1"/>
  <c r="G35" i="1"/>
  <c r="G36" i="1"/>
  <c r="E2" i="25"/>
  <c r="H26" i="1"/>
  <c r="E2" i="20"/>
  <c r="H27" i="1"/>
  <c r="E2" i="21"/>
  <c r="H28" i="1"/>
  <c r="E2" i="22"/>
  <c r="H29" i="1"/>
  <c r="E2" i="23"/>
  <c r="H30" i="1"/>
  <c r="E2" i="24"/>
  <c r="H31" i="1"/>
  <c r="H32" i="1"/>
  <c r="H6" i="1"/>
  <c r="D42" i="3"/>
  <c r="C8" i="3"/>
  <c r="H7" i="1"/>
  <c r="D45" i="4"/>
  <c r="C8" i="4"/>
  <c r="H8" i="1"/>
  <c r="D40" i="5"/>
  <c r="C8" i="5"/>
  <c r="H9" i="1"/>
  <c r="D46" i="6"/>
  <c r="C8" i="6"/>
  <c r="H10" i="1"/>
  <c r="D35" i="7"/>
  <c r="C8" i="7"/>
  <c r="H11" i="1"/>
  <c r="D37" i="8"/>
  <c r="C8" i="8"/>
  <c r="H12" i="1"/>
  <c r="D39" i="9"/>
  <c r="C8" i="9"/>
  <c r="H13" i="1"/>
  <c r="D42" i="10"/>
  <c r="C8" i="10"/>
  <c r="H14" i="1"/>
  <c r="D52" i="11"/>
  <c r="C8" i="11"/>
  <c r="H15" i="1"/>
  <c r="D44" i="12"/>
  <c r="C8" i="12"/>
  <c r="H16" i="1"/>
  <c r="D46" i="13"/>
  <c r="C8" i="13"/>
  <c r="H17" i="1"/>
  <c r="D48" i="14"/>
  <c r="C8" i="14"/>
  <c r="H18" i="1"/>
  <c r="D48" i="15"/>
  <c r="C8" i="15"/>
  <c r="H19" i="1"/>
  <c r="D54" i="16"/>
  <c r="C8" i="16"/>
  <c r="H20" i="1"/>
  <c r="D35" i="17"/>
  <c r="C8" i="17"/>
  <c r="H21" i="1"/>
  <c r="H22" i="1"/>
  <c r="H23" i="1"/>
  <c r="H35" i="1"/>
  <c r="H36" i="1"/>
  <c r="F2" i="25"/>
  <c r="I26" i="1"/>
  <c r="F2" i="20"/>
  <c r="I27" i="1"/>
  <c r="F2" i="21"/>
  <c r="I28" i="1"/>
  <c r="F2" i="22"/>
  <c r="I29" i="1"/>
  <c r="F2" i="23"/>
  <c r="I30" i="1"/>
  <c r="F2" i="24"/>
  <c r="I31" i="1"/>
  <c r="I32" i="1"/>
  <c r="I6" i="1"/>
  <c r="D51" i="3"/>
  <c r="C9" i="3"/>
  <c r="I7" i="1"/>
  <c r="D54" i="4"/>
  <c r="C9" i="4"/>
  <c r="I8" i="1"/>
  <c r="D46" i="5"/>
  <c r="C9" i="5"/>
  <c r="I9" i="1"/>
  <c r="D57" i="6"/>
  <c r="C9" i="6"/>
  <c r="I10" i="1"/>
  <c r="D39" i="7"/>
  <c r="C9" i="7"/>
  <c r="I11" i="1"/>
  <c r="D44" i="8"/>
  <c r="C9" i="8"/>
  <c r="I12" i="1"/>
  <c r="D53" i="9"/>
  <c r="C9" i="9"/>
  <c r="I13" i="1"/>
  <c r="D46" i="10"/>
  <c r="C9" i="10"/>
  <c r="I14" i="1"/>
  <c r="D57" i="11"/>
  <c r="C9" i="11"/>
  <c r="I15" i="1"/>
  <c r="D52" i="12"/>
  <c r="C9" i="12"/>
  <c r="I16" i="1"/>
  <c r="D49" i="13"/>
  <c r="C9" i="13"/>
  <c r="I17" i="1"/>
  <c r="D53" i="14"/>
  <c r="C9" i="14"/>
  <c r="I18" i="1"/>
  <c r="I19" i="1"/>
  <c r="D59" i="16"/>
  <c r="C9" i="16"/>
  <c r="I20" i="1"/>
  <c r="D41" i="17"/>
  <c r="C9" i="17"/>
  <c r="I21" i="1"/>
  <c r="I22" i="1"/>
  <c r="I23" i="1"/>
  <c r="I35" i="1"/>
  <c r="I36" i="1"/>
  <c r="J2" i="25"/>
  <c r="J26" i="1"/>
  <c r="J2" i="20"/>
  <c r="J27" i="1"/>
  <c r="J2" i="21"/>
  <c r="J28" i="1"/>
  <c r="J2" i="23"/>
  <c r="J30" i="1"/>
  <c r="J2" i="24"/>
  <c r="J31" i="1"/>
  <c r="J32" i="1"/>
  <c r="J6" i="1"/>
  <c r="J7" i="1"/>
  <c r="D98" i="4"/>
  <c r="C13" i="4"/>
  <c r="J8" i="1"/>
  <c r="J9" i="1"/>
  <c r="J10" i="1"/>
  <c r="D78" i="7"/>
  <c r="C13" i="7"/>
  <c r="J11" i="1"/>
  <c r="J12" i="1"/>
  <c r="J13" i="1"/>
  <c r="D38" i="10"/>
  <c r="C13" i="10"/>
  <c r="J14" i="1"/>
  <c r="J15" i="1"/>
  <c r="D83" i="12"/>
  <c r="C13" i="12"/>
  <c r="J16" i="1"/>
  <c r="J17" i="1"/>
  <c r="D146" i="14"/>
  <c r="C13" i="14"/>
  <c r="J18" i="1"/>
  <c r="J19" i="1"/>
  <c r="J20" i="1"/>
  <c r="J21" i="1"/>
  <c r="J22" i="1"/>
  <c r="J23" i="1"/>
  <c r="J35" i="1"/>
  <c r="J36" i="1"/>
  <c r="K26" i="1"/>
  <c r="K27" i="1"/>
  <c r="K28" i="1"/>
  <c r="K29" i="1"/>
  <c r="K30" i="1"/>
  <c r="K31" i="1"/>
  <c r="K32" i="1"/>
  <c r="K6" i="1"/>
  <c r="K7" i="1"/>
  <c r="K8" i="1"/>
  <c r="K9" i="1"/>
  <c r="K10" i="1"/>
  <c r="K11" i="1"/>
  <c r="K12" i="1"/>
  <c r="K13" i="1"/>
  <c r="K14" i="1"/>
  <c r="K15" i="1"/>
  <c r="K16" i="1"/>
  <c r="D83" i="13"/>
  <c r="C14" i="13"/>
  <c r="K17" i="1"/>
  <c r="D190" i="14"/>
  <c r="C14" i="14"/>
  <c r="K18" i="1"/>
  <c r="D225" i="15"/>
  <c r="C14" i="15"/>
  <c r="K19" i="1"/>
  <c r="D257" i="16"/>
  <c r="C14" i="16"/>
  <c r="K20" i="1"/>
  <c r="D276" i="17"/>
  <c r="C14" i="17"/>
  <c r="K21" i="1"/>
  <c r="D92" i="18"/>
  <c r="C14" i="18"/>
  <c r="K22" i="1"/>
  <c r="K23" i="1"/>
  <c r="K35" i="1"/>
  <c r="K36" i="1"/>
  <c r="I2" i="25"/>
  <c r="L26" i="1"/>
  <c r="I2" i="20"/>
  <c r="L27" i="1"/>
  <c r="I2" i="21"/>
  <c r="L28" i="1"/>
  <c r="I2" i="22"/>
  <c r="L29" i="1"/>
  <c r="I2" i="23"/>
  <c r="L30" i="1"/>
  <c r="I2" i="24"/>
  <c r="L31" i="1"/>
  <c r="L32" i="1"/>
  <c r="D26" i="2"/>
  <c r="C12" i="2"/>
  <c r="L6" i="1"/>
  <c r="D87" i="3"/>
  <c r="C12" i="3"/>
  <c r="L7" i="1"/>
  <c r="D95" i="4"/>
  <c r="C12" i="4"/>
  <c r="L8" i="1"/>
  <c r="D80" i="5"/>
  <c r="C12" i="5"/>
  <c r="L9" i="1"/>
  <c r="D104" i="6"/>
  <c r="C12" i="6"/>
  <c r="L10" i="1"/>
  <c r="D74" i="7"/>
  <c r="C12" i="7"/>
  <c r="L11" i="1"/>
  <c r="D75" i="8"/>
  <c r="C12" i="8"/>
  <c r="L12" i="1"/>
  <c r="D85" i="9"/>
  <c r="C12" i="9"/>
  <c r="L13" i="1"/>
  <c r="D74" i="10"/>
  <c r="C12" i="10"/>
  <c r="L14" i="1"/>
  <c r="D97" i="11"/>
  <c r="C12" i="11"/>
  <c r="L15" i="1"/>
  <c r="D79" i="12"/>
  <c r="C12" i="12"/>
  <c r="L16" i="1"/>
  <c r="D80" i="13"/>
  <c r="C12" i="13"/>
  <c r="L17" i="1"/>
  <c r="D139" i="14"/>
  <c r="C12" i="14"/>
  <c r="L18" i="1"/>
  <c r="D167" i="15"/>
  <c r="C12" i="15"/>
  <c r="L19" i="1"/>
  <c r="D201" i="16"/>
  <c r="C12" i="16"/>
  <c r="L20" i="1"/>
  <c r="D157" i="17"/>
  <c r="C12" i="17"/>
  <c r="L21" i="1"/>
  <c r="D61" i="18"/>
  <c r="C12" i="18"/>
  <c r="L22" i="1"/>
  <c r="L23" i="1"/>
  <c r="L35" i="1"/>
  <c r="L36" i="1"/>
  <c r="D59" i="25"/>
  <c r="G2" i="25"/>
  <c r="M26" i="1"/>
  <c r="M27" i="1"/>
  <c r="M28" i="1"/>
  <c r="D100" i="22"/>
  <c r="G2" i="22"/>
  <c r="M29" i="1"/>
  <c r="G2" i="23"/>
  <c r="M30" i="1"/>
  <c r="G2" i="24"/>
  <c r="M31" i="1"/>
  <c r="M32" i="1"/>
  <c r="M6" i="1"/>
  <c r="M7" i="1"/>
  <c r="M8" i="1"/>
  <c r="M9" i="1"/>
  <c r="M10" i="1"/>
  <c r="M11" i="1"/>
  <c r="D48" i="8"/>
  <c r="C10" i="8"/>
  <c r="M12" i="1"/>
  <c r="M13" i="1"/>
  <c r="M14" i="1"/>
  <c r="M15" i="1"/>
  <c r="M16" i="1"/>
  <c r="M17" i="1"/>
  <c r="M18" i="1"/>
  <c r="M19" i="1"/>
  <c r="M20" i="1"/>
  <c r="M21" i="1"/>
  <c r="M22" i="1"/>
  <c r="M23" i="1"/>
  <c r="M35" i="1"/>
  <c r="M36" i="1"/>
  <c r="N26" i="1"/>
  <c r="N27" i="1"/>
  <c r="N28" i="1"/>
  <c r="N29" i="1"/>
  <c r="N30" i="1"/>
  <c r="N31" i="1"/>
  <c r="N32" i="1"/>
  <c r="N6" i="1"/>
  <c r="N7" i="1"/>
  <c r="N8" i="1"/>
  <c r="N9" i="1"/>
  <c r="N10" i="1"/>
  <c r="N11" i="1"/>
  <c r="N12" i="1"/>
  <c r="N13" i="1"/>
  <c r="N14" i="1"/>
  <c r="N15" i="1"/>
  <c r="N16" i="1"/>
  <c r="N17" i="1"/>
  <c r="N18" i="1"/>
  <c r="N19" i="1"/>
  <c r="N20" i="1"/>
  <c r="N21" i="1"/>
  <c r="N22" i="1"/>
  <c r="N23" i="1"/>
  <c r="N35" i="1"/>
  <c r="N36" i="1"/>
  <c r="O32" i="1"/>
  <c r="O23" i="1"/>
  <c r="O35" i="1"/>
  <c r="O36" i="1"/>
  <c r="F132" i="25"/>
  <c r="L2" i="25"/>
  <c r="P26" i="1"/>
  <c r="F204" i="20"/>
  <c r="L2" i="20"/>
  <c r="P27" i="1"/>
  <c r="F207" i="21"/>
  <c r="L2" i="21"/>
  <c r="P28" i="1"/>
  <c r="F238" i="22"/>
  <c r="L2" i="22"/>
  <c r="P29" i="1"/>
  <c r="F282" i="23"/>
  <c r="L2" i="23"/>
  <c r="P30" i="1"/>
  <c r="F282" i="24"/>
  <c r="L2" i="24"/>
  <c r="P31" i="1"/>
  <c r="P32" i="1"/>
  <c r="P6" i="1"/>
  <c r="P7" i="1"/>
  <c r="F105" i="4"/>
  <c r="C16" i="4"/>
  <c r="P8" i="1"/>
  <c r="F88" i="5"/>
  <c r="C16" i="5"/>
  <c r="P9" i="1"/>
  <c r="F113" i="6"/>
  <c r="C16" i="6"/>
  <c r="P10" i="1"/>
  <c r="F85" i="7"/>
  <c r="C16" i="7"/>
  <c r="P11" i="1"/>
  <c r="F92" i="8"/>
  <c r="C16" i="8"/>
  <c r="P12" i="1"/>
  <c r="F103" i="9"/>
  <c r="C16" i="9"/>
  <c r="P13" i="1"/>
  <c r="F82" i="10"/>
  <c r="C16" i="10"/>
  <c r="P14" i="1"/>
  <c r="F103" i="11"/>
  <c r="C16" i="11"/>
  <c r="P15" i="1"/>
  <c r="F92" i="12"/>
  <c r="C16" i="12"/>
  <c r="P16" i="1"/>
  <c r="F94" i="13"/>
  <c r="C16" i="13"/>
  <c r="P17" i="1"/>
  <c r="F203" i="14"/>
  <c r="C16" i="14"/>
  <c r="P18" i="1"/>
  <c r="F233" i="15"/>
  <c r="C16" i="15"/>
  <c r="P19" i="1"/>
  <c r="F269" i="16"/>
  <c r="C16" i="16"/>
  <c r="P20" i="1"/>
  <c r="F290" i="17"/>
  <c r="C16" i="17"/>
  <c r="P21" i="1"/>
  <c r="P23" i="1"/>
  <c r="P35" i="1"/>
  <c r="P36" i="1"/>
  <c r="C26" i="1"/>
  <c r="C27" i="1"/>
  <c r="C28" i="1"/>
  <c r="C29" i="1"/>
  <c r="C30" i="1"/>
  <c r="C31" i="1"/>
  <c r="C32" i="1"/>
  <c r="C6" i="1"/>
  <c r="C7" i="1"/>
  <c r="C8" i="1"/>
  <c r="C9" i="1"/>
  <c r="C10" i="1"/>
  <c r="C11" i="1"/>
  <c r="C12" i="1"/>
  <c r="C13" i="1"/>
  <c r="C14" i="1"/>
  <c r="C15" i="1"/>
  <c r="C16" i="1"/>
  <c r="C17" i="1"/>
  <c r="C18" i="1"/>
  <c r="C19" i="1"/>
  <c r="C20" i="1"/>
  <c r="C21" i="1"/>
  <c r="C22" i="1"/>
  <c r="C23" i="1"/>
  <c r="C35" i="1"/>
  <c r="C36" i="1"/>
  <c r="O33" i="1"/>
  <c r="O24" i="1"/>
  <c r="A277" i="24"/>
  <c r="A276" i="24"/>
  <c r="A275" i="24"/>
  <c r="A274" i="24"/>
  <c r="A273" i="24"/>
  <c r="A272" i="24"/>
  <c r="A278" i="24"/>
  <c r="A271"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106"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P33" i="1"/>
  <c r="C15" i="18"/>
  <c r="C15" i="17"/>
  <c r="C15" i="16"/>
  <c r="C15" i="15"/>
  <c r="C15" i="6"/>
  <c r="C15" i="7"/>
  <c r="C15" i="8"/>
  <c r="C15" i="11"/>
  <c r="C15" i="10"/>
  <c r="C15" i="9"/>
  <c r="C5" i="4"/>
  <c r="C15" i="3"/>
  <c r="C15" i="2"/>
  <c r="A281" i="23"/>
  <c r="A280" i="23"/>
  <c r="A279" i="23"/>
  <c r="A278" i="23"/>
  <c r="A277" i="23"/>
  <c r="A276" i="23"/>
  <c r="A275" i="23"/>
  <c r="A274" i="23"/>
  <c r="A273" i="23"/>
  <c r="A272" i="23"/>
  <c r="A271" i="23"/>
  <c r="A270" i="23"/>
  <c r="A269" i="23"/>
  <c r="A268" i="23"/>
  <c r="A267" i="23"/>
  <c r="A266" i="23"/>
  <c r="A265" i="23"/>
  <c r="A264" i="23"/>
  <c r="A263" i="23"/>
  <c r="A262" i="23"/>
  <c r="A261" i="23"/>
  <c r="A260" i="23"/>
  <c r="A259" i="23"/>
  <c r="A258" i="23"/>
  <c r="A257" i="23"/>
  <c r="A256" i="23"/>
  <c r="A255" i="23"/>
  <c r="A254" i="23"/>
  <c r="A253" i="23"/>
  <c r="A252" i="23"/>
  <c r="A251" i="23"/>
  <c r="A250" i="23"/>
  <c r="A249" i="23"/>
  <c r="A248" i="23"/>
  <c r="A247" i="23"/>
  <c r="A246" i="23"/>
  <c r="A245" i="23"/>
  <c r="A244" i="23"/>
  <c r="A243" i="23"/>
  <c r="A242" i="23"/>
  <c r="A241" i="23"/>
  <c r="A240" i="23"/>
  <c r="A239" i="23"/>
  <c r="A238" i="23"/>
  <c r="A237" i="23"/>
  <c r="A236" i="23"/>
  <c r="A235" i="23"/>
  <c r="A234" i="23"/>
  <c r="A233" i="23"/>
  <c r="A232" i="23"/>
  <c r="A231" i="23"/>
  <c r="A230" i="23"/>
  <c r="A229" i="23"/>
  <c r="A228" i="23"/>
  <c r="A227" i="23"/>
  <c r="A226" i="23"/>
  <c r="A225" i="23"/>
  <c r="A224" i="23"/>
  <c r="A223" i="23"/>
  <c r="A222" i="23"/>
  <c r="A221" i="23"/>
  <c r="A220" i="23"/>
  <c r="A219" i="23"/>
  <c r="A218" i="23"/>
  <c r="A217" i="23"/>
  <c r="A216" i="23"/>
  <c r="A215" i="23"/>
  <c r="A214" i="23"/>
  <c r="A213" i="23"/>
  <c r="A212" i="23"/>
  <c r="A211" i="23"/>
  <c r="A210" i="23"/>
  <c r="A209" i="23"/>
  <c r="A208" i="23"/>
  <c r="A207" i="23"/>
  <c r="A206" i="23"/>
  <c r="A205" i="23"/>
  <c r="A204" i="23"/>
  <c r="A203" i="23"/>
  <c r="A202" i="23"/>
  <c r="A201" i="23"/>
  <c r="A200" i="23"/>
  <c r="A199" i="23"/>
  <c r="A198" i="23"/>
  <c r="A197" i="23"/>
  <c r="A196" i="23"/>
  <c r="A195" i="23"/>
  <c r="A194" i="23"/>
  <c r="A193" i="23"/>
  <c r="A192" i="23"/>
  <c r="A191" i="23"/>
  <c r="A190" i="23"/>
  <c r="A189" i="23"/>
  <c r="A188" i="23"/>
  <c r="A187" i="23"/>
  <c r="A186" i="23"/>
  <c r="A185" i="23"/>
  <c r="A184" i="23"/>
  <c r="A183" i="23"/>
  <c r="A182" i="23"/>
  <c r="A181" i="23"/>
  <c r="A180" i="23"/>
  <c r="A179" i="23"/>
  <c r="A178" i="23"/>
  <c r="A177" i="23"/>
  <c r="A176" i="23"/>
  <c r="A175" i="23"/>
  <c r="A174" i="23"/>
  <c r="A173" i="23"/>
  <c r="A172" i="23"/>
  <c r="A171" i="23"/>
  <c r="A170" i="23"/>
  <c r="A169" i="23"/>
  <c r="A168" i="23"/>
  <c r="A167" i="23"/>
  <c r="A166" i="23"/>
  <c r="A165" i="23"/>
  <c r="A164" i="23"/>
  <c r="A163" i="23"/>
  <c r="A162" i="23"/>
  <c r="A161" i="23"/>
  <c r="A160" i="23"/>
  <c r="A159" i="23"/>
  <c r="A158" i="23"/>
  <c r="A157" i="23"/>
  <c r="A156" i="23"/>
  <c r="A155" i="23"/>
  <c r="A154" i="23"/>
  <c r="A153" i="23"/>
  <c r="A152" i="23"/>
  <c r="A151" i="23"/>
  <c r="A150" i="23"/>
  <c r="A149" i="23"/>
  <c r="A148" i="23"/>
  <c r="A147" i="23"/>
  <c r="A146" i="23"/>
  <c r="A145" i="23"/>
  <c r="A144" i="23"/>
  <c r="A143" i="23"/>
  <c r="A142" i="23"/>
  <c r="A141" i="23"/>
  <c r="A140" i="23"/>
  <c r="A139" i="23"/>
  <c r="A138" i="23"/>
  <c r="A137" i="23"/>
  <c r="A136" i="23"/>
  <c r="A135" i="23"/>
  <c r="A134" i="23"/>
  <c r="A133" i="23"/>
  <c r="A132" i="23"/>
  <c r="A131" i="23"/>
  <c r="A130" i="23"/>
  <c r="A129" i="23"/>
  <c r="A128" i="23"/>
  <c r="A127" i="23"/>
  <c r="A126" i="23"/>
  <c r="A125" i="23"/>
  <c r="A124" i="23"/>
  <c r="A123" i="23"/>
  <c r="A122" i="23"/>
  <c r="A121" i="23"/>
  <c r="A120" i="23"/>
  <c r="A119" i="23"/>
  <c r="A118" i="23"/>
  <c r="A117" i="23"/>
  <c r="A116" i="23"/>
  <c r="A115" i="23"/>
  <c r="A114" i="23"/>
  <c r="A113" i="23"/>
  <c r="A112" i="23"/>
  <c r="A111" i="23"/>
  <c r="A110" i="23"/>
  <c r="A109" i="23"/>
  <c r="C15" i="14"/>
  <c r="A202" i="14"/>
  <c r="A201" i="14"/>
  <c r="A200" i="14"/>
  <c r="A199" i="14"/>
  <c r="A198" i="14"/>
  <c r="A197" i="14"/>
  <c r="A196" i="14"/>
  <c r="A195" i="14"/>
  <c r="A194" i="14"/>
  <c r="A193"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5" i="14"/>
  <c r="A144" i="14"/>
  <c r="A143" i="14"/>
  <c r="A142" i="14"/>
  <c r="A141"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2" i="14"/>
  <c r="A51" i="14"/>
  <c r="A50" i="14"/>
  <c r="A47" i="14"/>
  <c r="A44" i="14"/>
  <c r="A43" i="14"/>
  <c r="A42" i="14"/>
  <c r="A41" i="14"/>
  <c r="A40" i="14"/>
  <c r="A39" i="14"/>
  <c r="A36" i="14"/>
  <c r="A35" i="14"/>
  <c r="A34" i="14"/>
  <c r="A33" i="14"/>
  <c r="A32" i="14"/>
  <c r="A31" i="14"/>
  <c r="A30" i="14"/>
  <c r="A29" i="14"/>
  <c r="A28" i="14"/>
  <c r="A27" i="14"/>
  <c r="A26" i="14"/>
  <c r="A25" i="14"/>
  <c r="A24" i="14"/>
  <c r="A23" i="14"/>
  <c r="A22" i="14"/>
  <c r="A21" i="14"/>
  <c r="A20" i="14"/>
  <c r="C15" i="13"/>
  <c r="A93" i="13"/>
  <c r="A92" i="13"/>
  <c r="A91" i="13"/>
  <c r="A90" i="13"/>
  <c r="A89" i="13"/>
  <c r="A88" i="13"/>
  <c r="A87" i="13"/>
  <c r="A86" i="13"/>
  <c r="A82"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48" i="13"/>
  <c r="A45" i="13"/>
  <c r="A44" i="13"/>
  <c r="A43" i="13"/>
  <c r="A40" i="13"/>
  <c r="A39" i="13"/>
  <c r="A38" i="13"/>
  <c r="A37" i="13"/>
  <c r="A34" i="13"/>
  <c r="A33" i="13"/>
  <c r="A32" i="13"/>
  <c r="A31" i="13"/>
  <c r="A30" i="13"/>
  <c r="A29" i="13"/>
  <c r="A28" i="13"/>
  <c r="A27" i="13"/>
  <c r="A26" i="13"/>
  <c r="A25" i="13"/>
  <c r="A24" i="13"/>
  <c r="A23" i="13"/>
  <c r="A22" i="13"/>
  <c r="A21" i="13"/>
  <c r="A20" i="13"/>
  <c r="C15" i="12"/>
  <c r="A91" i="12"/>
  <c r="A90" i="12"/>
  <c r="A89" i="12"/>
  <c r="A88" i="12"/>
  <c r="A87" i="12"/>
  <c r="A82" i="12"/>
  <c r="A81"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1" i="12"/>
  <c r="A50" i="12"/>
  <c r="A49" i="12"/>
  <c r="A48" i="12"/>
  <c r="A47" i="12"/>
  <c r="A46" i="12"/>
  <c r="A43" i="12"/>
  <c r="A42" i="12"/>
  <c r="A41" i="12"/>
  <c r="A38" i="12"/>
  <c r="A37" i="12"/>
  <c r="A36" i="12"/>
  <c r="A33" i="12"/>
  <c r="A32" i="12"/>
  <c r="A31" i="12"/>
  <c r="A30" i="12"/>
  <c r="A29" i="12"/>
  <c r="A28" i="12"/>
  <c r="A27" i="12"/>
  <c r="A26" i="12"/>
  <c r="A25" i="12"/>
  <c r="A24" i="12"/>
  <c r="A23" i="12"/>
  <c r="A22" i="12"/>
  <c r="A21" i="12"/>
  <c r="A20" i="12"/>
  <c r="A19" i="12"/>
  <c r="C15" i="5"/>
  <c r="C15" i="4"/>
  <c r="E24" i="1"/>
  <c r="G24" i="1"/>
  <c r="K24" i="1"/>
  <c r="M24" i="1"/>
  <c r="H24" i="1"/>
  <c r="L24" i="1"/>
  <c r="H33" i="1"/>
  <c r="D33" i="1"/>
  <c r="J24" i="1"/>
  <c r="D24" i="1"/>
  <c r="N24" i="1"/>
  <c r="J33" i="1"/>
  <c r="F33" i="1"/>
  <c r="F24" i="1"/>
  <c r="P24" i="1"/>
  <c r="M33" i="1"/>
  <c r="I24" i="1"/>
  <c r="L33" i="1"/>
  <c r="N33" i="1"/>
  <c r="I33" i="1"/>
  <c r="G33" i="1"/>
  <c r="E33" i="1"/>
  <c r="K33" i="1"/>
  <c r="C24" i="1"/>
  <c r="C33" i="1"/>
</calcChain>
</file>

<file path=xl/sharedStrings.xml><?xml version="1.0" encoding="utf-8"?>
<sst xmlns="http://schemas.openxmlformats.org/spreadsheetml/2006/main" count="17195" uniqueCount="7134">
  <si>
    <t>Joined the Third Circuit Court of Appeals on April 30, 1990</t>
  </si>
  <si>
    <t>Joined the United States Supreme Court on January 31, 2006</t>
  </si>
  <si>
    <t>Court</t>
  </si>
  <si>
    <t>Term*</t>
  </si>
  <si>
    <t>Total Written Opinions</t>
  </si>
  <si>
    <t>Majority Op.</t>
  </si>
  <si>
    <t>Unanimous Maj. Op.**</t>
  </si>
  <si>
    <t>Maj. in part***</t>
  </si>
  <si>
    <t>Plurality Op.</t>
  </si>
  <si>
    <t>Concurring Op.</t>
  </si>
  <si>
    <t>Dissenting Op.</t>
  </si>
  <si>
    <t>Per Curiam Op. Joined</t>
  </si>
  <si>
    <t>Unpub. Per Curiam *****</t>
  </si>
  <si>
    <t>Op. Joined****</t>
  </si>
  <si>
    <t>Opinions Relating to Orders</t>
  </si>
  <si>
    <t>Single Judge Panel</t>
  </si>
  <si>
    <t xml:space="preserve">In Chambers </t>
  </si>
  <si>
    <t>Times Cited by Name******</t>
  </si>
  <si>
    <t>3d Circuit</t>
  </si>
  <si>
    <t>Avg. Per Term</t>
  </si>
  <si>
    <t>S. Ct.</t>
  </si>
  <si>
    <t>Totals</t>
  </si>
  <si>
    <t>Associate Justice Samuel Anthony Alito, Jr.</t>
  </si>
  <si>
    <t>1999 Term (10/4/1999 - 10/1/2000)</t>
  </si>
  <si>
    <t>Summary</t>
  </si>
  <si>
    <t>Majority Opinions</t>
  </si>
  <si>
    <t>Unanimous Majority Opinions</t>
  </si>
  <si>
    <t>Majority In Part, Plurality In Part Opinions</t>
  </si>
  <si>
    <t>Plurality Opinions</t>
  </si>
  <si>
    <t>Concurring Opinions</t>
  </si>
  <si>
    <t>Dissenting Opinions</t>
  </si>
  <si>
    <t>Joined Opinions (not Per Curiam)</t>
  </si>
  <si>
    <t>Per Curiam Opinions Joined</t>
  </si>
  <si>
    <t>Unpublished Per Curiam Opinions Joined</t>
  </si>
  <si>
    <t>Number of times cited in federal courts</t>
  </si>
  <si>
    <t>Link</t>
  </si>
  <si>
    <t>Case</t>
  </si>
  <si>
    <t>CaseCite</t>
  </si>
  <si>
    <t>Op. Code</t>
  </si>
  <si>
    <t>Modifier</t>
  </si>
  <si>
    <t>Cited?</t>
  </si>
  <si>
    <t>In Text or Cite?</t>
  </si>
  <si>
    <t>Type of Opinion Cited</t>
  </si>
  <si>
    <t>Within Same Case?</t>
  </si>
  <si>
    <t>Notes</t>
  </si>
  <si>
    <t xml:space="preserve">Oran v. Stafford, </t>
  </si>
  <si>
    <t>226 F.3d 275, 2000 WL 1268154, Fed. Sec. L. Rep. P 91,205, 55 Fed. R. Evid. Serv. 872, C.A.3 (N.J.), September 07, 2000 (NO. 99-5184)</t>
  </si>
  <si>
    <t>m</t>
  </si>
  <si>
    <t>um</t>
  </si>
  <si>
    <t>n</t>
  </si>
  <si>
    <t xml:space="preserve">Applebaum v. Nissan Motor Acceptance Corp., </t>
  </si>
  <si>
    <t>226 F.3d 214, 2000 WL 1225805, C.A.3 (Pa.), August 30, 2000 (NO. 99-1373)</t>
  </si>
  <si>
    <t xml:space="preserve">Chittister v. Department of Community and Economic Development, </t>
  </si>
  <si>
    <t>226 F.3d 223, 2000 WL 1225806, 77 Empl. Prac. Dec. P 40,169, 141 Lab.Cas. P 34,118, 25 Employee Benefits Cas. 1025, 6 Wage &amp; Hour Cas.2d (BNA) 545, 19 NDLR P 101, C.A.3 (Pa.), August 30, 2000 (NO. 00-3140)</t>
  </si>
  <si>
    <t xml:space="preserve">Bell Atlantic Corp. v. U.S., </t>
  </si>
  <si>
    <t>224 F.3d 220, 2000 WL 1160946, 86 A.F.T.R.2d 2000-5633, 2000-2 USTC P 50,669, C.A.3 (Pa.), August 17, 2000 (NO. 99-1234)</t>
  </si>
  <si>
    <t xml:space="preserve">Donahue v. Consolidated Rail Corp., </t>
  </si>
  <si>
    <t>224 F.3d 226, 2000 WL 1160947, 10 A.D. Cases 1505, 18 NDLR P 188, C.A.3 (Pa.), August 17, 2000 (NO. 99-1637)</t>
  </si>
  <si>
    <t xml:space="preserve">National Data Payment Systems, Inc. v. Meridian Bank, </t>
  </si>
  <si>
    <t>212 F.3d 849, 2000 WL 641197, C.A.3 (Pa.), May 19, 2000 (NO. 99-1445)</t>
  </si>
  <si>
    <t xml:space="preserve">Shane v. Fauver, </t>
  </si>
  <si>
    <t>213 F.3d 113, 2000 WL 655642, 46 Fed.R.Serv.3d 957, C.A.3 (N.J.), May 19, 2000 (NO. 98-6205)</t>
  </si>
  <si>
    <t xml:space="preserve">Watson v. Southeastern Pennsylvania Transp. Authority, </t>
  </si>
  <si>
    <t>207 F.3d 207, 2000 WL 291159, 82 Fair Empl.Prac.Cas. (BNA) 520, 17 NDLR P 182, C.A.3 (Pa.), March 20, 2000 (NO. 98-1832, 98-1833, 98-1834)</t>
  </si>
  <si>
    <t xml:space="preserve">U.S. ex rel. Merena v. SmithKline Beecham Corp., </t>
  </si>
  <si>
    <t>205 F.3d 97, 2000 WL 225897, C.A.3 (Pa.), February 29, 2000 (NO. 98-1499, 98-1497, 98-1498)</t>
  </si>
  <si>
    <t xml:space="preserve">U.S. v. Hecht, </t>
  </si>
  <si>
    <t>212 F.3d 847, 2000 WL 637396, C.A.3 (Pa.), February 29, 2000 (NO. 99-1543)</t>
  </si>
  <si>
    <t xml:space="preserve">Pennsylvania Tidewater Dock Co. v. Director, Office of Workers' Compensation Programs, </t>
  </si>
  <si>
    <t>202 F.3d 656, 2000 WL 92251, 2000 A.M.C. 1655, C.A.3, January 28, 2000 (NO. 98-6325)</t>
  </si>
  <si>
    <t xml:space="preserve">U.S. v. Stephens, </t>
  </si>
  <si>
    <t>198 F.3d 389, 1999 WL 1267835, C.A.3 (N.J.), December 28, 1999 (NO. 99-5309)</t>
  </si>
  <si>
    <t xml:space="preserve">Hopp v. City of Pittsburgh, </t>
  </si>
  <si>
    <t>194 F.3d 434, 1999 WL 825457, 81 Fair Empl.Prac.Cas. (BNA) 26, C.A.3 (Pa.), October 14, 1999 (NO. 98-3411, 98-3427)</t>
  </si>
  <si>
    <t xml:space="preserve">U.S. v. Roberson, </t>
  </si>
  <si>
    <t>194 F.3d 408, 1999 WL 825544, C.A.3 (Pa.), October 14, 1999 (NO. 97-7309)</t>
  </si>
  <si>
    <t xml:space="preserve">Nicholas v. Pennsylvania State University, </t>
  </si>
  <si>
    <t>227 F.3d 133, 2000 WL 1285698, 147 Ed. Law Rep. 485, 55 Fed. R. Evid. Serv. 1028, C.A.3 (Pa.), September 13, 2000 (NO. 98-7611)</t>
  </si>
  <si>
    <t>y</t>
  </si>
  <si>
    <t>c</t>
  </si>
  <si>
    <t>c/d</t>
  </si>
  <si>
    <t>Total (UM)</t>
  </si>
  <si>
    <t xml:space="preserve">Syed v. Hercules Inc., </t>
  </si>
  <si>
    <t>214 F.3d 155, 2000 WL 696393, 24 Employee Benefits Cas. 2031, C.A.3 (Del.), May 30, 2000 (NO. 99-5472)</t>
  </si>
  <si>
    <t xml:space="preserve">T.R. v. Kingwood Tp. Bd. of Educ., </t>
  </si>
  <si>
    <t>205 F.3d 572, 2000 WL 261067, 142 Ed. Law Rep. 656, C.A.3 (N.J.), March 09, 2000 (NO. 99-5021)</t>
  </si>
  <si>
    <t xml:space="preserve">Pacitti v. Macy's, </t>
  </si>
  <si>
    <t>193 F.3d 766, 1999 WL 788731, 44 Fed.R.Serv.3d 1240, C.A.3 (Pa.), October 05, 1999 (NO. 98-1803)</t>
  </si>
  <si>
    <t>Total (All M)</t>
  </si>
  <si>
    <t xml:space="preserve">In re Tamecki, </t>
  </si>
  <si>
    <t>229 F.3d 205, 2000 WL 1419656, 36 Bankr.Ct.Dec. 214, C.A.3 (Pa.), September 27, 2000 (NO. 99-4061)</t>
  </si>
  <si>
    <t xml:space="preserve">Planned Parenthood of Central New Jersey v. Farmer, </t>
  </si>
  <si>
    <t>220 F.3d 127, 2000 WL 1025617, C.A.3 (N.J.), July 26, 2000 (NO. 99-5272, 99-5042)</t>
  </si>
  <si>
    <t xml:space="preserve">U.S. v. Eleven Vehicles, Their Equipment and Accessories, </t>
  </si>
  <si>
    <t>200 F.3d 203, 2000 WL 15007, 45 Fed.R.Serv.3d 371, C.A.3 (Pa.), January 07, 2000 (NO. 99-1241)</t>
  </si>
  <si>
    <t>Total</t>
  </si>
  <si>
    <t xml:space="preserve">U.S. v. One Toshiba Color Television, </t>
  </si>
  <si>
    <t>213 F.3d 147, 2000 WL 669978, 46 Fed.R.Serv.3d 1327, C.A.3 (Pa.), May 24, 2000 (NO. 98-3578, 98-3579)</t>
  </si>
  <si>
    <t xml:space="preserve">C.H. ex rel. Z.H. v. Oliva, </t>
  </si>
  <si>
    <t>226 F.3d 198, 2000 WL 1211607, 148 Ed. Law Rep. 585, C.A.3 (N.J.), August 28, 2000 (NO. 98-5061)</t>
  </si>
  <si>
    <t>d</t>
  </si>
  <si>
    <t xml:space="preserve">Suter v. Munich Reinsurance Co., </t>
  </si>
  <si>
    <t>223 F.3d 150, 2000 WL 1093308, C.A.3 (N.J.), August 07, 2000 (NO. 99-5611)</t>
  </si>
  <si>
    <t xml:space="preserve">Zubi v. AT&amp;T Corp., </t>
  </si>
  <si>
    <t>219 F.3d 220, 2000 WL 979967, 83 Fair Empl.Prac.Cas. (BNA) 417, 79 Empl. Prac. Dec. P 40,260, C.A.3 (N.J.), July 18, 2000 (NO. 99-5206)</t>
  </si>
  <si>
    <t xml:space="preserve">U.S. v. McGlory, </t>
  </si>
  <si>
    <t>202 F.3d 664, 2000 WL 116294, C.A.3 (Pa.), February 01, 2000 (NO. 97-3057)</t>
  </si>
  <si>
    <t xml:space="preserve">Raquel v. Education Management Corp., </t>
  </si>
  <si>
    <t>196 F.3d 171, 1999 WL 1018082, 1999 Copr.L.Dec. P 27,985, 52 U.S.P.Q.2d 1705, C.A.3 (Pa.), November 09, 1999 (NO. 98-3321)</t>
  </si>
  <si>
    <t xml:space="preserve">Guardian Life Ins. Co. of America v. Goduti-Moore, </t>
  </si>
  <si>
    <t>229 F.3d 212, 2000 WL 1421360, C.A.3 (N.J.), September 27, 2000 (NO. 99-5165)</t>
  </si>
  <si>
    <t>oj</t>
  </si>
  <si>
    <t xml:space="preserve">U.S. v. Bockius, </t>
  </si>
  <si>
    <t>228 F.3d 305, 2000 WL 1372824, C.A.3 (Pa.), September 25, 2000 (NO. 99-1973)</t>
  </si>
  <si>
    <t xml:space="preserve">Goosby v. Johnson &amp; Johnson Medical, Inc., </t>
  </si>
  <si>
    <t>228 F.3d 313, 2000 WL 1372825, 83 Fair Empl.Prac.Cas. (BNA) 1627, C.A.3 (Pa.), September 25, 2000 (NO. 99-3819)</t>
  </si>
  <si>
    <t xml:space="preserve">Alvin v. Suzuki, </t>
  </si>
  <si>
    <t>227 F.3d 107, 2000 WL 1281478, 142 Lab.Cas. P 59,076, 47 Fed.R.Serv.3d 740, 147 Ed. Law Rep. 468, C.A.3 (Pa.), September 12, 2000 (NO. 99-3245)</t>
  </si>
  <si>
    <t xml:space="preserve">U.S. v. Cepero, </t>
  </si>
  <si>
    <t>224 F.3d 256, 2000 WL 1161010, C.A.3 (Pa.), August 17, 2000 (NO. 99-3047)</t>
  </si>
  <si>
    <t xml:space="preserve">Tanimura &amp; Antle, Inc. v. Packed Fresh Produce, Inc., </t>
  </si>
  <si>
    <t>222 F.3d 132, 2000 WL 1146667, C.A.3 (N.J.), August 15, 2000 (NO. 00-5056)</t>
  </si>
  <si>
    <t xml:space="preserve">Shelton v. University of Medicine &amp; Dentistry of New Jersey, </t>
  </si>
  <si>
    <t>223 F.3d 220, 2000 WL 1131929, 83 Fair Empl.Prac.Cas. (BNA) 1060, C.A.3 (N.J.), August 10, 2000 (NO. 99-5527)</t>
  </si>
  <si>
    <t xml:space="preserve">Bines v. Kulaylat, </t>
  </si>
  <si>
    <t>215 F.3d 381, 2000 WL 748083, C.A.3 (Pa.), June 12, 2000 (NO. 98-1635)</t>
  </si>
  <si>
    <t xml:space="preserve">U.S. S.E.C. v. Infinity Group Co., </t>
  </si>
  <si>
    <t>212 F.3d 180, 2000 WL 538234, Fed. Sec. L. Rep. P 90,966, 46 Fed.R.Serv.3d 625, 55 Fed. R. Evid. Serv. 185, C.A.3 (Pa.), May 04, 2000 (NO. 98-1215, 98-1216, 98-1217)</t>
  </si>
  <si>
    <t xml:space="preserve">Times Mirror Magazines, Inc. v. Las Vegas Sports News, L.L.C., </t>
  </si>
  <si>
    <t>212 F.3d 157, 2000 WL 526779, 165 A.L.R. Fed. 783, 54 U.S.P.Q.2d 1577, C.A.3 (Pa.), April 28, 2000 (NO. 99-1299)</t>
  </si>
  <si>
    <t xml:space="preserve">Society Hill Towers Owners' Ass'n v. Rendell, </t>
  </si>
  <si>
    <t>210 F.3d 168, 2000 WL 387151, 30 Envtl. L. Rep. 20,553, C.A.3 (Pa.), April 17, 2000 (NO. 98-1937)</t>
  </si>
  <si>
    <t xml:space="preserve">Campbell v. Vaughn, </t>
  </si>
  <si>
    <t>209 F.3d 280, 2000 WL 360034, C.A.3 (Pa.), April 12, 2000 (NO. 98-1744)</t>
  </si>
  <si>
    <t xml:space="preserve">U.S. v. Torres, </t>
  </si>
  <si>
    <t>209 F.3d 308, 2000 WL 352484, C.A.3 (Pa.), April 06, 2000 (NO. 99-1149, 99-1491)</t>
  </si>
  <si>
    <t xml:space="preserve">Chamberlain v. Giampapa, </t>
  </si>
  <si>
    <t>210 F.3d 154, 2000 WL 311127, C.A.3 (N.J.), March 28, 2000 (NO. 99-5069)</t>
  </si>
  <si>
    <t xml:space="preserve">Wood v. Prudential Ins. Co. of America, </t>
  </si>
  <si>
    <t>207 F.3d 674, 2000 WL 311129, 24 Employee Benefits Cas. 2868, Pens. Plan Guide (CCH) P 23961P, C.A.3 (N.J.), March 28, 2000 (NO. 99-5022)</t>
  </si>
  <si>
    <t xml:space="preserve">Figueroa v. Blackburn, </t>
  </si>
  <si>
    <t>208 F.3d 435, 2000 WL 340794, C.A.3 (N.J.), March 27, 2000 (NO. 99-5252)</t>
  </si>
  <si>
    <t xml:space="preserve">Handicomp, Inc. v. U.S. Golf Ass'n, </t>
  </si>
  <si>
    <t>Not Reported in F.3d, 2000 WL 426245, 2000-1 Trade Cases P 72,879, C.A.3 (N.J.), March 22, 2000 (NO. 99-5372)</t>
  </si>
  <si>
    <t xml:space="preserve">Hedges v. Musco, </t>
  </si>
  <si>
    <t>204 F.3d 109, 2000 WL 202393, 141 Ed. Law Rep. 1020, C.A.3 (N.J.), February 22, 2000 (NO. 99-5111)</t>
  </si>
  <si>
    <t xml:space="preserve">Nyhuis v. Reno, </t>
  </si>
  <si>
    <t>204 F.3d 65, 2000 WL 157531, C.A.3 (Pa.), February 15, 2000 (NO. 98-3543)</t>
  </si>
  <si>
    <t xml:space="preserve">Stanziale v. Jargowsky, </t>
  </si>
  <si>
    <t>200 F.3d 101, 2000 WL 12857, 81 Fair Empl.Prac.Cas. (BNA) 1440, 77 Empl. Prac. Dec. P 46,254, 140 Lab.Cas. P 33,994, C.A.3 (N.J.), January 10, 2000 (NO. 99-5030)</t>
  </si>
  <si>
    <t xml:space="preserve">Doe v. National Bd. of Medical Examiners, </t>
  </si>
  <si>
    <t>199 F.3d 146, 1999 WL 1125391, 10 A.D. Cases 1, 16 NDLR P 238, C.A.3 (Pa.), December 09, 1999 (NO. 99-1877)</t>
  </si>
  <si>
    <t xml:space="preserve">U.S. v. Johnson, </t>
  </si>
  <si>
    <t>199 F.3d 123, 1999 WL 1085832, C.A.3 (Pa.), December 02, 1999 (NO. 98-2012)</t>
  </si>
  <si>
    <t xml:space="preserve">Motley v. New Jersey State Police, </t>
  </si>
  <si>
    <t>196 F.3d 160, 1999 WL 985135, 23 Employee Benefits Cas. 2796, 9 A.D. Cases 1505, 16 NDLR P 174, C.A.3 (N.J.), November 01, 1999 (NO. 97-5715)</t>
  </si>
  <si>
    <t xml:space="preserve">Ryan v. Butera, Beausang, Cohen &amp; Brennan, </t>
  </si>
  <si>
    <t>193 F.3d 210, 1999 WL 901206, C.A.3 (Pa.), October 18, 1999 (NO. 97-2020)</t>
  </si>
  <si>
    <t xml:space="preserve">U.S. v. Dodd, </t>
  </si>
  <si>
    <t>225 F.3d 340, 2000 WL 1203932, C.A.3 (Pa.), August 24, 2000 (NO. 99-1530)</t>
  </si>
  <si>
    <t xml:space="preserve">In re Rashid, </t>
  </si>
  <si>
    <t>210 F.3d 201, 2000 WL 382727, Bankr. L. Rep. P 78,162, C.A.3 (Pa.), April 14, 2000 (NO. 98-1719)</t>
  </si>
  <si>
    <t>pc</t>
  </si>
  <si>
    <t xml:space="preserve">Pennsylvania Mines Corp. v. Holland, </t>
  </si>
  <si>
    <t>197 F.3d 114, 1999 WL 1057247, 23 Employee Benefits Cas. 2049, C.A.3 (Pa.), November 22, 1999 (NO. 98-3610, 98-3642)</t>
  </si>
  <si>
    <t>CITATIONS</t>
  </si>
  <si>
    <t>211 F.3d 836, 2000 WL 546352, C.A.4 (N.C.), May 03, 2000 (NO. 98-7657)</t>
  </si>
  <si>
    <t>t</t>
  </si>
  <si>
    <t xml:space="preserve">U.S. v. Garcia, </t>
  </si>
  <si>
    <t>210 F.3d 1058, 2000 WL 519006, 00 Cal. Daily Op. Serv. 3310, 2000 Daily Journal D.A.R. 4621, C.A.9 (Cal.), May 02, 2000 (NO. 98-15839)</t>
  </si>
  <si>
    <t xml:space="preserve">Acierno v. New Castle County, </t>
  </si>
  <si>
    <t>Not Reported in F.Supp.2d, 2000 WL 718346, D.Del., May 23, 2000 (NO. C.A. 92-385 (SLR))</t>
  </si>
  <si>
    <t>Total Cites</t>
  </si>
  <si>
    <t>2000 Term (10/2/2000 - 9/30/2001)</t>
  </si>
  <si>
    <t xml:space="preserve">Joint Stock Society v. UDV North America, Inc., </t>
  </si>
  <si>
    <t>266 F.3d 164, 2001 WL 1077907, 2001-2 Trade Cases P 73,424, 60 U.S.P.Q.2d 1258, C.A.3 (Del.), September 14, 2001 (NO. 99-5422)</t>
  </si>
  <si>
    <t xml:space="preserve">Wenger v. Frank, </t>
  </si>
  <si>
    <t>266 F.3d 218, 2001 WL 1042454, C.A.3 (Pa.), August 27, 2001 (NO. 99-3337)</t>
  </si>
  <si>
    <t xml:space="preserve">Acceptance Ins. Co. v. Sloan, </t>
  </si>
  <si>
    <t>263 F.3d 278, 2001 WL 950184, 32 Envtl. L. Rep. 20,228, C.A.3 (Pa.), August 22, 2001 (NO. 00-2423)</t>
  </si>
  <si>
    <t xml:space="preserve">Leckey v. Stefano, </t>
  </si>
  <si>
    <t>263 F.3d 267, 2001 WL 957401, 26 Employee Benefits Cas. 1967, Pens. Plan Guide (CCH) P 23975T, C.A.3 (Pa.), August 20, 2001 (NO. 00-3698)</t>
  </si>
  <si>
    <t xml:space="preserve">Southco, Inc. v. Kanebridge Corp., </t>
  </si>
  <si>
    <t>258 F.3d 148, 2001 WL 821438, 2001 Copr.L.Dec. P 28,287, 59 U.S.P.Q.2d 1514, C.A.3 (Pa.), July 20, 2001 (NO. 00-1102)</t>
  </si>
  <si>
    <t xml:space="preserve">Einhorn v. Fleming Foods of Pennsylvania, Inc., </t>
  </si>
  <si>
    <t>258 F.3d 192, 2001 WL 802212, Pens. Plan Guide (CCH) P 23973Y, C.A.3 (Pa.), July 17, 2001 (NO. 00-2549)</t>
  </si>
  <si>
    <t xml:space="preserve">Leveto v. Lapina, </t>
  </si>
  <si>
    <t>258 F.3d 156, 2001 WL 803006, 88 A.F.T.R.2d 2001-5786, 2001-2 USTC P 50,536, C.A.3 (Pa.), July 17, 2001 (NO. 00-3241)</t>
  </si>
  <si>
    <t xml:space="preserve">Robert S. v. Stetson School, Inc., </t>
  </si>
  <si>
    <t>256 F.3d 159, 2001 WL 747246, 155 Ed. Law Rep. 129, C.A.3 (Pa.), July 03, 2001 (NO. 00-1438)</t>
  </si>
  <si>
    <t xml:space="preserve">George v. Sively, </t>
  </si>
  <si>
    <t>254 F.3d 438, 2001 WL 649057, C.A.3 (Virgin Islands), June 12, 2001 (NO. 98-7609)</t>
  </si>
  <si>
    <t xml:space="preserve">Keller v. Larkins, </t>
  </si>
  <si>
    <t>251 F.3d 408, 2001 WL 514125, C.A.3 (Pa.), May 15, 2001 (NO. 00-1130)</t>
  </si>
  <si>
    <t xml:space="preserve">U.S. v. Hodge, </t>
  </si>
  <si>
    <t>246 F.3d 301, 2001 WL 329519, C.A.3 (Virgin Islands), April 05, 2001 (NO. 00-3296)</t>
  </si>
  <si>
    <t xml:space="preserve">ACLU-NJ v. Township of Wall, </t>
  </si>
  <si>
    <t>246 F.3d 258, 2001 WL 320914, C.A.3 (N.J.), April 03, 2001 (NO. 00-2075)</t>
  </si>
  <si>
    <t xml:space="preserve">Marshak v. Treadwell, </t>
  </si>
  <si>
    <t>240 F.3d 184, 2001 WL 121845, 57 U.S.P.Q.2d 1764, C.A.3 (N.J.), February 09, 2001 (NO. 99-5614)</t>
  </si>
  <si>
    <t xml:space="preserve">Khodara Environmental, Inc. ex rel. Eagle Environmental L.P. v. Beckman, </t>
  </si>
  <si>
    <t>237 F.3d 186, 2001 WL 40096, 31 Envtl. L. Rep. 20,400, C.A.3 (Pa.), January 17, 2001 (NO. 99-3465, 99-3458, 99-3475)</t>
  </si>
  <si>
    <t xml:space="preserve">Pennsylvania Protection &amp; Advocacy, Inc. v. Houstoun, </t>
  </si>
  <si>
    <t>228 F.3d 423, 2000 WL 1460762, C.A.3 (Pa.), October 03, 2000 (NO. 99-1969)</t>
  </si>
  <si>
    <t xml:space="preserve">Eddy v. Virgin Islands Water and Power Auth., </t>
  </si>
  <si>
    <t>256 F.3d 204, 2001 WL 770088, 50 Fed.R.Serv.3d 1173, C.A.3 (Virgin Islands), July 10, 2001 (NO. 99-3849)</t>
  </si>
  <si>
    <t xml:space="preserve">Saxe v. State College Area School Dist., </t>
  </si>
  <si>
    <t>240 F.3d 200, 2001 WL 123852, 151 Ed. Law Rep. 86, C.A.3 (Pa.), February 14, 2001 (NO. 99-4081)</t>
  </si>
  <si>
    <t xml:space="preserve">Riley v. Taylor, </t>
  </si>
  <si>
    <t>237 F.3d 300, 2001 WL 43597, Withdrawn for N.R.S. bound volume, C.A.3 (Del.), January 17, 2001 (NO. 98-9009)</t>
  </si>
  <si>
    <t xml:space="preserve">Tucker v. Fischbein, </t>
  </si>
  <si>
    <t>237 F.3d 275, 2001 WL 19679, 29 Media L. Rep. 1161, C.A.3 (Pa.), January 09, 2001 (NO. 99-1139)</t>
  </si>
  <si>
    <t xml:space="preserve">Abramson v. William Paterson College of New Jersey, </t>
  </si>
  <si>
    <t>260 F.3d 265, 2001 WL 881255, 86 Fair Empl.Prac.Cas. (BNA) 668, 80 Empl. Prac. Dec. P 40,678, 156 Ed. Law Rep. 90, C.A.3 (N.J.), August 03, 2001 (NO. 00-5026)</t>
  </si>
  <si>
    <t xml:space="preserve">BP Chemicals Ltd. v. Formosa Chemical &amp; Fibre Corp., </t>
  </si>
  <si>
    <t>229 F.3d 254, 2000 WL 1460760, 56 U.S.P.Q.2d 1321, C.A.3 (N.J.), October 03, 2000 (NO. 98-5468, 99-5451, 98-5469, 99-5452, 99-5423)</t>
  </si>
  <si>
    <t xml:space="preserve">Nordhoff Investments, Inc. v. Zenith Electronics Corp., </t>
  </si>
  <si>
    <t>258 F.3d 180, 2001 WL 698000, 46 Collier Bankr.Cas.2d 802, 38 Bankr.Ct.Dec. 3, C.A.3 (Del.), June 21, 2001 (NO. 00-2250, 00-2249)</t>
  </si>
  <si>
    <t xml:space="preserve">In re Four Three Oh, Inc., </t>
  </si>
  <si>
    <t>256 F.3d 107, 2001 WL 740572, C.A.3 (N.J.), July 02, 2001 (NO. 00-2135)</t>
  </si>
  <si>
    <t xml:space="preserve">W.R. Grace &amp; Co. v. U.S. E.P.A., </t>
  </si>
  <si>
    <t>261 F.3d 330, 2001 WL 899632, 52 ERC 1993, 32 Envtl. L. Rep. 20,093, C.A.3, August 10, 2001 (NO. 00-3302, 99-5662)</t>
  </si>
  <si>
    <t xml:space="preserve">U.S. v. Omoruyi, </t>
  </si>
  <si>
    <t>260 F.3d 291, 2001 WL 883157, C.A.3 (Pa.), August 07, 2001 (NO. 00-4330)</t>
  </si>
  <si>
    <t xml:space="preserve">Pryer v. C.O. 3 Slavic, </t>
  </si>
  <si>
    <t>251 F.3d 448, 2001 WL 578329, C.A.3 (Pa.), May 30, 2001 (NO. 00-3297)</t>
  </si>
  <si>
    <t xml:space="preserve">U.S. v. Brown, </t>
  </si>
  <si>
    <t>250 F.3d 811, 2001 WL 539459, C.A.3 (Pa.), May 22, 2001 (NO. 00-1679)</t>
  </si>
  <si>
    <t xml:space="preserve">Beta Spawn, Inc. v. FFE Transportation Services, Inc., </t>
  </si>
  <si>
    <t>250 F.3d 218, 2001 WL 514127, Fed. Carr. Cas. P 84,184, C.A.3 (Pa.), May 15, 2001 (NO. 00-1332)</t>
  </si>
  <si>
    <t xml:space="preserve">Smith v. Davis, </t>
  </si>
  <si>
    <t>248 F.3d 249, 2001 WL 483321, 11 A.D. Cases 1342, 20 NDLR P 175, C.A.3 (Pa.), May 07, 2001 (NO. 00-3268)</t>
  </si>
  <si>
    <t xml:space="preserve">Cinicola v. Scharffenberger, </t>
  </si>
  <si>
    <t>248 F.3d 110, 2001 WL 427639, Bankr. L. Rep. P 78,396, 17 IER Cases 1089, C.A.3 (Pa.), April 25, 2001 (NO. 00-3318)</t>
  </si>
  <si>
    <t xml:space="preserve">Woodside v. School Dist. of Philadelphia Bd. of Educ., </t>
  </si>
  <si>
    <t>248 F.3d 129, 2001 WL 410363, 153 Ed. Law Rep. 525, C.A.3 (Pa.), April 23, 2001 (NO. 00-1158)</t>
  </si>
  <si>
    <t xml:space="preserve">Fargnoli v. Massanari, </t>
  </si>
  <si>
    <t>247 F.3d 34, 2001 WL 359353, 73 Soc.Sec.Rep.Serv. 219, Unempl.Ins.Rep. (CCH) P 16537B, C.A.3 (Pa.), April 11, 2001 (NO. 99-1989)</t>
  </si>
  <si>
    <t xml:space="preserve">U.S. v. Brooks, </t>
  </si>
  <si>
    <t>245 F.3d 291, 2001 WL 314920, C.A.3 (Pa.), March 28, 2001 (NO. 99-8043, 98-7419)</t>
  </si>
  <si>
    <t xml:space="preserve">Doe v. County of Centre, PA, </t>
  </si>
  <si>
    <t>242 F.3d 437, 2001 WL 214005, 11 A.D. Cases 943, 20 NDLR P 53, C.A.3 (Pa.), March 05, 2001 (NO. 00-3195)</t>
  </si>
  <si>
    <t xml:space="preserve">Government of Virgin Islands v. Albert, </t>
  </si>
  <si>
    <t>241 F.3d 344, 2001 WL 177182, 56 Fed. R. Evid. Serv. 125, C.A.3 (Virgin Islands), February 28, 2001 (NO. 00-1604, 00-3306)</t>
  </si>
  <si>
    <t xml:space="preserve">Berke v. Bloch, </t>
  </si>
  <si>
    <t>242 F.3d 131, 2001 WL 196986, 49 Fed.R.Serv.3d 194, C.A.3 (N.J.), February 27, 2001 (NO. 00-2078)</t>
  </si>
  <si>
    <t xml:space="preserve">Rauser v. Horn, </t>
  </si>
  <si>
    <t>241 F.3d 330, 2001 WL 185120, C.A.3 (Pa.), February 26, 2001 (NO. 99-4013)</t>
  </si>
  <si>
    <t xml:space="preserve">U.S. v. Richards, </t>
  </si>
  <si>
    <t>241 F.3d 335, 2001 WL 185123, 56 Fed. R. Evid. Serv. 726, C.A.3 (Virgin Islands), February 26, 2001 (NO. 99-3966)</t>
  </si>
  <si>
    <t xml:space="preserve">Matthews v. Apfel, </t>
  </si>
  <si>
    <t>239 F.3d 589, 2001 WL 109366, 72 Soc.Sec.Rep.Serv. 400, C.A.3 (Pa.), February 08, 2001 (NO. 00-1151)</t>
  </si>
  <si>
    <t xml:space="preserve">Government of the V.I. v. Martinez, </t>
  </si>
  <si>
    <t>239 F.3d 293, 2001 WL 91400, C.A.3 (Virgin Islands), February 02, 2001 (NO. 98-7331)</t>
  </si>
  <si>
    <t xml:space="preserve">Scully v. US WATS, Inc., </t>
  </si>
  <si>
    <t>238 F.3d 497, 2001 WL 85192, 142 Lab.Cas. P 59,149, 17 IER Cases 1203, 26 Employee Benefits Cas. 1231, C.A.3 (Pa.), February 01, 2001 (NO. 99-1590, 99-1653)</t>
  </si>
  <si>
    <t xml:space="preserve">Abdul-Akbar v. McKelvie, </t>
  </si>
  <si>
    <t>239 F.3d 307, 2001 WL 76277, C.A.3 (Del.), January 29, 2001 (NO. 98-7307)</t>
  </si>
  <si>
    <t xml:space="preserve">Remick v. Manfredy, </t>
  </si>
  <si>
    <t>238 F.3d 248, 2001 WL 62889, C.A.3 (Pa.), January 25, 2001 (NO. 99-1422)</t>
  </si>
  <si>
    <t xml:space="preserve">Alkon v. U.S., </t>
  </si>
  <si>
    <t>239 F.3d 565, 2001 WL 58076, C.A.3 (Virgin Islands), January 19, 2001 (NO. 00-3439)</t>
  </si>
  <si>
    <t xml:space="preserve">U.S. v. Clark, </t>
  </si>
  <si>
    <t>237 F.3d 293, 2001 WL 21601, C.A.3 (N.J.), January 10, 2001 (NO. 99-5386)</t>
  </si>
  <si>
    <t xml:space="preserve">U.S. v. Southeastern Pennsylvania Transp. Authority, </t>
  </si>
  <si>
    <t>235 F.3d 817, 2000 WL 1877464, 51 ERC 1859, 31 Envtl. L. Rep. 20,310, C.A.3 (Pa.), December 26, 2000 (NO. 99-1479)</t>
  </si>
  <si>
    <t xml:space="preserve">U.S. v. Kalb, </t>
  </si>
  <si>
    <t>234 F.3d 827, 2000 WL 1811392, 31 Envtl. L. Rep. 20,310, C.A.3 (Pa.), December 12, 2000 (NO. 00-1733, 00-1734, 00-1746)</t>
  </si>
  <si>
    <t xml:space="preserve">Battaglia v. McKendry, </t>
  </si>
  <si>
    <t>233 F.3d 720, 2000 WL 1754230, C.A.3 (Pa.), November 30, 2000 (NO. 99-1751)</t>
  </si>
  <si>
    <t xml:space="preserve">U.S. v. DeLaurentis, </t>
  </si>
  <si>
    <t>230 F.3d 659, 2000 WL 1586115, C.A.3 (N.J.), October 24, 2000 (NO. 00-5121)</t>
  </si>
  <si>
    <t>230 F.3d 643, 2000 WL 1573083, C.A.3 (Pa.), October 23, 2000 (NO. 99-8043, 98-7419)</t>
  </si>
  <si>
    <t xml:space="preserve">Kane v. BOC Group, Inc., </t>
  </si>
  <si>
    <t>114 F.Supp.2d 352, 2000 WL 1231435, E.D.Pa., August 31, 2000 (NO. CIV. A. 95-6953, CIV. A. 93-5974, CIV. A. 95-6551)</t>
  </si>
  <si>
    <t xml:space="preserve">Bass v. Butler, </t>
  </si>
  <si>
    <t>258 F.3d 176, 2001 WL 765459, C.A.3 (Pa.), July 09, 2001 (NO. 00-1860)</t>
  </si>
  <si>
    <t xml:space="preserve">SOUTH CAMDEN CITIZENS IN ACTION; Geneva Sanders; Pauline Woods; Barbara Pfeifer; Julita Gilliard; Oscar Lisboa; Shirley Rios; Phyllis Holmes; Gwen Peterson; Latoya Cooper; Julio Lugo, v. NEW JERSEY DEPARTMENT OF ENVIRONMENTAL PROTECTION; Robert C. Shinn, Jr., Commissioner of the NJ Dept. of Environmental Protection, in his Official Capacity, ST. LAWRENCE CEMENT CO., L.L.C., Intervenor in D.C., Appellant., </t>
  </si>
  <si>
    <t>Not Reported in F.3d, 2001 WL 34131402, C.A.3, June 15, 2001 (NO. 01-2224)</t>
  </si>
  <si>
    <t>upc</t>
  </si>
  <si>
    <t xml:space="preserve">Harrington v. Cleburne County Bd. of Educ., </t>
  </si>
  <si>
    <t>251 F.3d 935, 2001 WL 531102, 85 Fair Empl.Prac.Cas. (BNA) 1224, 50 Fed.R.Serv.3d 150, 154 Ed. Law Rep. 143, 14 Fla. L. Weekly Fed. C 712, C.A.11 (Ala.), May 18, 2001 (NO. 00-12739)</t>
  </si>
  <si>
    <t xml:space="preserve">Eaves v. County of Cape May, </t>
  </si>
  <si>
    <t>239 F.3d 527, 2001 WL 58107, 80 Empl. Prac. Dec. P 40,589, C.A.3 (N.J.), January 24, 2001 (NO. 00-5096)</t>
  </si>
  <si>
    <t xml:space="preserve">In re Lazar, </t>
  </si>
  <si>
    <t>237 F.3d 967, 2001 WL 29160, 01 Cal. Daily Op. Serv. 383, 2001 Daily Journal D.A.R. 491, C.A.9 (Cal.), January 12, 2001 (NO. 97-56635, 97-56636, 97-56638)</t>
  </si>
  <si>
    <t xml:space="preserve">In re Phoenix Petroleum Co., </t>
  </si>
  <si>
    <t>278 B.R. 385, 2001 WL 1851139, Bkrtcy.E.D.Pa., June 06, 2001 (NO. 00-17786F)</t>
  </si>
  <si>
    <t xml:space="preserve">Scott v. Sulzer Carbomedics, Inc., </t>
  </si>
  <si>
    <t>141 F.Supp.2d 154, 2001 WL 539468, 85 Fair Empl.Prac.Cas. (BNA) 1362, 143 Lab.Cas. P 34,292, D.Mass., May 15, 2001 (NO. C.A. 98-10711-NG)</t>
  </si>
  <si>
    <t xml:space="preserve">Moyer v. Official Creditor's Committee of Paint &amp; Assembly Corp., </t>
  </si>
  <si>
    <t>Not Reported in F.Supp.2d, 2001 WL 290384, 46 Collier Bankr.Cas.2d 1099, S.D.Ind., March 23, 2001 (NO. IP 98-4342-RLB-11, IP 99-1037-C-B/S, IP 98-428)</t>
  </si>
  <si>
    <t xml:space="preserve">In re Odom Antennas, Inc., </t>
  </si>
  <si>
    <t>258 B.R. 376, 2001 WL 118499, 89 A.F.T.R.2d 2002-542, Bkrtcy.E.D.Ark., January 25, 2001 (NO. 97-45729)</t>
  </si>
  <si>
    <t>2001 Term (10/1/2001 - 10/6/2002)</t>
  </si>
  <si>
    <t xml:space="preserve">U.S. v. Ninety-Two Thousand Four Hundred Twenty-Two Dollars and Fifty-Seven Cents ($92,422.57), </t>
  </si>
  <si>
    <t>307 F.3d 137, 2002 WL 31102675, C.A.3 (Pa.), September 20, 2002 (NO. 00-4348)</t>
  </si>
  <si>
    <t xml:space="preserve">U.S. v. Cohen, </t>
  </si>
  <si>
    <t>301 F.3d 152, 2002 WL 1940160, C.A.3 (Pa.), August 22, 2002 (NO. 01-3318, 01-3111)</t>
  </si>
  <si>
    <t xml:space="preserve">Lawson ex rel. Lawson v. Fortis Ins. Co., </t>
  </si>
  <si>
    <t>301 F.3d 159, 2002 WL 1940171, C.A.3 (Pa.), August 22, 2002 (NO. 01-3316, 01-3355)</t>
  </si>
  <si>
    <t xml:space="preserve">U.S. v. Tiller, </t>
  </si>
  <si>
    <t>302 F.3d 98, 2002 WL 1905131, C.A.3 (Pa.), August 20, 2002 (NO. 01-2791)</t>
  </si>
  <si>
    <t xml:space="preserve">Chadwick v. Janecka, </t>
  </si>
  <si>
    <t>302 F.3d 107, 2002 WL 1905136, C.A.3 (Pa.), August 20, 2002 (NO. 02-1173)</t>
  </si>
  <si>
    <t xml:space="preserve">Alden Leeds, Inc. v. Occupational Safety and Health Review Com'n, </t>
  </si>
  <si>
    <t>298 F.3d 256, 2002 WL 1763760, 19 O.S.H. Cas. (BNA) 1976, 2002 O.S.H.D. (CCH) P 32,600, C.A.3, July 31, 2002 (NO. 00-2764)</t>
  </si>
  <si>
    <t xml:space="preserve">In re Hechinger Inv. Co. of Delaware, </t>
  </si>
  <si>
    <t>298 F.3d 219, 2002 WL 1729625, 48 Collier Bankr.Cas.2d 1076, 39 Bankr.Ct.Dec. 244, 28 Employee Benefits Cas. 2112, Pens. Plan Guide (CCH) P 23980Z, C.A.3 (Del.), July 25, 2002 (NO. 01-2018)</t>
  </si>
  <si>
    <t xml:space="preserve">Swartzwelder v. McNeilly, </t>
  </si>
  <si>
    <t>297 F.3d 228, 2002 WL 1589883, C.A.3 (Pa.), July 19, 2002 (NO. 01-1085)</t>
  </si>
  <si>
    <t xml:space="preserve">Carpenter v. Vaughn, </t>
  </si>
  <si>
    <t>296 F.3d 138, 2002 WL 1404880, C.A.3 (Pa.), July 01, 2002 (NO. 95-9001)</t>
  </si>
  <si>
    <t xml:space="preserve">Shapiro v. Township of Lakewood, </t>
  </si>
  <si>
    <t>292 F.3d 356, 2002 WL 1087137, 13 A.D. Cases 106, 24 NDLR P 2, C.A.3 (N.J.), May 29, 2002 (NO. 01-3212)</t>
  </si>
  <si>
    <t xml:space="preserve">Neonatology Associates, P.A. v. C.I.R., </t>
  </si>
  <si>
    <t>293 F.3d 128, 2002 WL 1020969, 89 A.F.T.R.2d 2002-2585, 52 Fed.R.Serv.3d 1377, C.A.3, May 20, 2002 (NO. 01-2862)</t>
  </si>
  <si>
    <t xml:space="preserve">Truesdell v. Philadelphia Housing Authority, </t>
  </si>
  <si>
    <t>290 F.3d 159, 2002 WL 917611, C.A.3 (Pa.), May 07, 2002 (NO. 01-1557)</t>
  </si>
  <si>
    <t xml:space="preserve">Nextel Partners Inc. v. Kingston Tp., </t>
  </si>
  <si>
    <t>286 F.3d 687, 2002 WL 537900, C.A.3 (Pa.), April 11, 2002 (NO. 00-2502)</t>
  </si>
  <si>
    <t xml:space="preserve">Bovkun v. Ashcroft, </t>
  </si>
  <si>
    <t>283 F.3d 166, 2002 WL 369802, C.A.3, March 08, 2002 (NO. 01-2180)</t>
  </si>
  <si>
    <t xml:space="preserve">Nextel West Corp. v. Unity Township, </t>
  </si>
  <si>
    <t>282 F.3d 257, 2002 WL 340604, C.A.3 (Pa.), March 05, 2002 (NO. 01-2030)</t>
  </si>
  <si>
    <t xml:space="preserve">Brosius v. Warden, U.S. Penitentiary, Lewisburg, PA, </t>
  </si>
  <si>
    <t>278 F.3d 239, 2002 WL 86993, C.A.3 (Pa.), January 23, 2002 (NO. 01-1102)</t>
  </si>
  <si>
    <t xml:space="preserve">Ziccardi v. City of Philadelphia, </t>
  </si>
  <si>
    <t>288 F.3d 57, 2002 WL 799796, C.A.3 (Pa.), April 30, 2002 (NO. 01-1895)</t>
  </si>
  <si>
    <t xml:space="preserve">m </t>
  </si>
  <si>
    <t xml:space="preserve">um </t>
  </si>
  <si>
    <t xml:space="preserve">Betterbox Communications Ltd. v. BB Technologies, Inc., </t>
  </si>
  <si>
    <t>300 F.3d 325, 2002 WL 1856493, 64 U.S.P.Q.2d 1120, 59 Fed. R. Evid. Serv. 605, C.A.3 (Pa.), August 13, 2002 (NO. 01-2456)</t>
  </si>
  <si>
    <t xml:space="preserve">Thomas v. Commissioner of Social Sec., </t>
  </si>
  <si>
    <t>294 F.3d 568, 2002 WL 1378711, 81 Soc.Sec.Rep.Serv. 511, Unempl.Ins.Rep. (CCH) P 16760B, C.A.3 (N.J.), June 21, 2002 (NO. 00-3506)</t>
  </si>
  <si>
    <t xml:space="preserve">Transamerica Occidental Life Ins. Co. v. Aviation Office of America, Inc., </t>
  </si>
  <si>
    <t>292 F.3d 384, 2002 WL 1046694, 52 Fed.R.Serv.3d 1042, C.A.3 (N.J.), May 24, 2002 (NO. 00-3635)</t>
  </si>
  <si>
    <t xml:space="preserve">Pennsylvania Pharmacists Ass'n v. Houstoun, </t>
  </si>
  <si>
    <t>283 F.3d 531, 2002 WL 389273, C.A.3 (Pa.), March 13, 2002 (NO. 00-1898)</t>
  </si>
  <si>
    <t xml:space="preserve">Fraise v. Terhune, </t>
  </si>
  <si>
    <t>283 F.3d 506, 2002 WL 397219, C.A.3 (N.J.), March 13, 2002 (NO. 00-5062)</t>
  </si>
  <si>
    <t xml:space="preserve">U.S. v. Gricco, </t>
  </si>
  <si>
    <t>277 F.3d 339, 2002 WL 23162, 89 A.F.T.R.2d 2002-420, 58 Fed. R. Evid. Serv. 728, C.A.3 (Pa.), January 09, 2002 (NO. 00-2149, 00-2179)</t>
  </si>
  <si>
    <t xml:space="preserve">New Jersey Payphone Ass'n, Inc. v. Town of West New York, </t>
  </si>
  <si>
    <t>299 F.3d 235, 2002 WL 1750837, C.A.3 (N.J.), July 26, 2002 (NO. 01-1917)</t>
  </si>
  <si>
    <t xml:space="preserve">U.S. v. Zimmerman, </t>
  </si>
  <si>
    <t>277 F.3d 426, 2002 WL 13167, 187 A.L.R. Fed. 761, 160 Ed. Law Rep. 739, C.A.3 (Pa.), January 04, 2002 (NO. 01-1251)</t>
  </si>
  <si>
    <t xml:space="preserve">Pennsylvania Power Co. v. Local Union No. 272, Intern. Broth. of Elec. Workers, AFL-CIO, </t>
  </si>
  <si>
    <t>276 F.3d 174, 2001 WL 1640088, 169 L.R.R.M. (BNA) 2010, 145 Lab.Cas. P 11,173, 27 Employee Benefits Cas. 1690, C.A.3 (Pa.), December 21, 2001 (NO. 01-2116)</t>
  </si>
  <si>
    <t>277 F.3d 261, 2001 WL 1661489, C.A.3 (Del.), December 28, 2001 (NO. 98-9009)</t>
  </si>
  <si>
    <t xml:space="preserve">The case had come before Alito before, and the majority opinion in this case pasted whole excerpts from Alito's first time hearing the case. </t>
  </si>
  <si>
    <t xml:space="preserve">Chukwuezi v. Ashcroft, </t>
  </si>
  <si>
    <t>48 Fed.Appx. 846, 2002 WL 31228178, C.A.3 (Pa.), October 04, 2002 (NO. 01-2575, 01-2863)</t>
  </si>
  <si>
    <t xml:space="preserve">Elwell v. PP&amp;L, Inc., </t>
  </si>
  <si>
    <t>47 Fed.Appx. 183, 2002 WL 31160109, C.A.3 (Pa.), September 30, 2002 (NO. 01-4512)</t>
  </si>
  <si>
    <t xml:space="preserve">Eastwind Group, Inc. v. National Union Fire Ins. Co. of Pittsburgh, Pennsylvania, </t>
  </si>
  <si>
    <t>47 Fed.Appx. 83, 2002 WL 31002610, C.A.3 (Pa.), September 06, 2002 (NO. 01-4200)</t>
  </si>
  <si>
    <t xml:space="preserve">In re Prudential Ins. Co. of America Sales Practice Litigation, </t>
  </si>
  <si>
    <t>47 Fed.Appx. 78, 2002 WL 2007188, C.A.3 (N.J.), September 03, 2002 (NO. 01-2320)</t>
  </si>
  <si>
    <t xml:space="preserve">U.S. v. Elliott, </t>
  </si>
  <si>
    <t>45 Fed.Appx. 208, 2002 WL 1986502, C.A.3 (Pa.), August 28, 2002 (NO. 01-2108)</t>
  </si>
  <si>
    <t xml:space="preserve">U.S. v. Peppers, </t>
  </si>
  <si>
    <t>302 F.3d 120, 2002 WL 1924843, C.A.3 (Pa.), August 21, 2002 (NO. 01-2348)</t>
  </si>
  <si>
    <t xml:space="preserve">Williams v. Rumsfeld, </t>
  </si>
  <si>
    <t>44 Fed.Appx. 592, 2002 WL 1840809, C.A.3 (Pa.), August 13, 2002 (NO. 01-4016)</t>
  </si>
  <si>
    <t xml:space="preserve">U.S. v. Zats, </t>
  </si>
  <si>
    <t>298 F.3d 182, 2002 WL 1790545, C.A.3 (Pa.), August 05, 2002 (NO. 00-2757)</t>
  </si>
  <si>
    <t xml:space="preserve">Operating System Support, Inc. v. Wang Laboratories, Inc., </t>
  </si>
  <si>
    <t>52 Fed.Appx. 160, 2002 WL 1791101, 2002 Copr.L.Dec. P 28,474, C.A.3 (N.J.), August 05, 2002 (NO. 01-2700)</t>
  </si>
  <si>
    <t xml:space="preserve">Prusky v. Prudential Ins. Co. of America, </t>
  </si>
  <si>
    <t>44 Fed.Appx. 545, 2002 WL 1774064, C.A.3 (Pa.), August 01, 2002 (NO. 02-1004)</t>
  </si>
  <si>
    <t xml:space="preserve">Smathers v. Multi-Tool, Inc./Multi-Plastics, Inc. Employee Health and Welfare Plan, </t>
  </si>
  <si>
    <t>298 F.3d 191, 2002 WL 1763966, 28 Employee Benefits Cas. 2015, C.A.3 (Pa.), July 31, 2002 (NO. 01-1045)</t>
  </si>
  <si>
    <t xml:space="preserve">U.S. v. Prunty, </t>
  </si>
  <si>
    <t>40 Fed.Appx. 732, 2002 WL 1747538, C.A.3 (N.J.), July 29, 2002 (NO. 01-3978)</t>
  </si>
  <si>
    <t xml:space="preserve">U.S. v. Pharis, </t>
  </si>
  <si>
    <t>298 F.3d 228, 2002 WL 1729563, C.A.3 (Pa.), July 26, 2002 (NO. 00-2855)</t>
  </si>
  <si>
    <t xml:space="preserve">U.S. v. Shabazz, </t>
  </si>
  <si>
    <t>40 Fed.Appx. 727, 2002 WL 1732553, C.A.3 (Pa.), July 26, 2002 (NO. 01-4515)</t>
  </si>
  <si>
    <t xml:space="preserve">Sponaugle v. First Union Mortg. Corp., </t>
  </si>
  <si>
    <t>40 Fed.Appx. 715, 2002 WL 1723894, C.A.3 (Pa.), July 25, 2002 (NO. 01-3325)</t>
  </si>
  <si>
    <t xml:space="preserve">Mazurek v. Massanari, </t>
  </si>
  <si>
    <t>40 Fed.Appx. 681, 2002 WL 1575918, C.A.3 (Pa.), July 17, 2002 (NO. 01-3923)</t>
  </si>
  <si>
    <t xml:space="preserve">Aloe Energy Corp. v. Barnhart, </t>
  </si>
  <si>
    <t>39 Fed.Appx. 783, 2002 WL 1544294, C.A.3 (Pa.), July 12, 2002 (NO. 99-3915)</t>
  </si>
  <si>
    <t xml:space="preserve">Planned Parenthood of Cent. New Jersey v. Attorney General of State of New Jersey, </t>
  </si>
  <si>
    <t>297 F.3d 253, 2002 WL 1483245, 53 Fed.R.Serv.3d 287, C.A.3 (N.J.), July 11, 2002 (NO. 01-2581)</t>
  </si>
  <si>
    <t xml:space="preserve">Diaz v. Warden FCI Fairton, </t>
  </si>
  <si>
    <t>40 Fed.Appx. 665, 2002 WL 1466243, C.A.3 (N.J.), July 09, 2002 (NO. 00-2581)</t>
  </si>
  <si>
    <t xml:space="preserve">U.S. v. Alexander, </t>
  </si>
  <si>
    <t>40 Fed.Appx. 667, 2002 WL 1466470, C.A.3 (Pa.), July 09, 2002 (NO. 01-3189)</t>
  </si>
  <si>
    <t xml:space="preserve">Riseman v. Advanta Corp., </t>
  </si>
  <si>
    <t>39 Fed.Appx. 761, 2002 WL 1480773, C.A.3 (Pa.), July 08, 2002 (NO. 01-3707, 01-3844)</t>
  </si>
  <si>
    <t xml:space="preserve">Balsavage v. Director, Office of Workers' Compensation Programs, </t>
  </si>
  <si>
    <t>295 F.3d 390, 2002 WL 1402454, C.A.3, June 28, 2002 (NO. 01-2091)</t>
  </si>
  <si>
    <t xml:space="preserve">In re Joshua Hill, Inc., </t>
  </si>
  <si>
    <t>294 F.3d 482, 2002 WL 1362162, 55 ERC 1808, 32 Envtl. L. Rep. 20,753, C.A.3 (Pa.), June 24, 2002 (NO. 00-3677)</t>
  </si>
  <si>
    <t xml:space="preserve">Snyder's of Hanover, Inc. v. N.L.R.B., </t>
  </si>
  <si>
    <t>39 Fed.Appx. 730, 2002 WL 1428291, 170 L.R.R.M. (BNA) 2448, C.A.3, June 24, 2002 (NO. 01-2702, 01-3101)</t>
  </si>
  <si>
    <t xml:space="preserve">U.S. v. Sanchez-Gonzalez, </t>
  </si>
  <si>
    <t>294 F.3d 563, 2002 WL 1337701, 9 A.L.R. Fed. 2d 813, C.A.3 (Pa.), June 19, 2002 (NO. 00-2004)</t>
  </si>
  <si>
    <t xml:space="preserve">Stolz v. Massanari, </t>
  </si>
  <si>
    <t>36 Fed.Appx. 714, 2002 WL 1289864, C.A.3 (Pa.), June 12, 2002 (NO. 01-3595)</t>
  </si>
  <si>
    <t xml:space="preserve">Tomalis v. OFfice of Attorney General of Com. of PA., </t>
  </si>
  <si>
    <t>36 Fed.Appx. 45, 2002 WL 1162350, C.A.3 (Pa.), June 03, 2002 (NO. 01-3347)</t>
  </si>
  <si>
    <t xml:space="preserve">In re Charter Behavioral Health Systems, LLC., </t>
  </si>
  <si>
    <t>36 Fed.Appx. 56, 2002 WL 1174663, C.A.3 (Del.), June 03, 2002 (NO. 00-3516)</t>
  </si>
  <si>
    <t xml:space="preserve">Tomalis v. Office of Attorney General of Commonwealth of Pennsylvania, </t>
  </si>
  <si>
    <t>45 Fed.Appx. 139, 2002 WL 2004348, C.A.3 (Pa.), June 03, 2002 (NO. 01-3347)</t>
  </si>
  <si>
    <t xml:space="preserve">In re Charter Behavioral Health Systems, LLC, </t>
  </si>
  <si>
    <t>45 Fed.Appx. 150, 2002 WL 2004651, C.A.3 (Del.), June 03, 2002 (NO. 00-3516)</t>
  </si>
  <si>
    <t xml:space="preserve">Bent Creek Ltd. Partnership v. Silver Spring Tp. Authority, </t>
  </si>
  <si>
    <t>36 Fed.Appx. 43, 2002 WL 1155433, C.A.3 (Pa.), May 31, 2002 (NO. 01-3887)</t>
  </si>
  <si>
    <t xml:space="preserve">Pro Line Filter Systems, Inc. v. J.C. Carter Co., Inc., </t>
  </si>
  <si>
    <t>34 Fed.Appx. 870, 2002 WL 1041119, C.A.3 (N.J.), May 23, 2002 (NO. 01-3557)</t>
  </si>
  <si>
    <t xml:space="preserve">U.S. v. Morrison, </t>
  </si>
  <si>
    <t>38 Fed.Appx. 762, 2002 WL 1284109, C.A.3 (Pa.), May 23, 2002 (NO. 01-2652)</t>
  </si>
  <si>
    <t>36 Fed.Appx. 36, 2002 WL 1020970, C.A.3 (Pa.), May 21, 2002 (NO. 01-2108)</t>
  </si>
  <si>
    <t xml:space="preserve">U.S. v. Early, </t>
  </si>
  <si>
    <t>38 Fed.Appx. 755, 2002 WL 1041121, C.A.3 (Pa.), May 21, 2002 (NO. 00-2449)</t>
  </si>
  <si>
    <t xml:space="preserve">Griffin Industries, Inc. v. Slammin' Canz, Inc., </t>
  </si>
  <si>
    <t>35 Fed.Appx. 42, 2002 WL 1058097, C.A.3 (Pa.), May 21, 2002 (NO. 01-3861)</t>
  </si>
  <si>
    <t>45 Fed.Appx. 129, 2002 WL 2005426, C.A.3 (Pa.), May 21, 2002 (NO. 01-3861)</t>
  </si>
  <si>
    <t xml:space="preserve">U.S. v. Bullard, </t>
  </si>
  <si>
    <t>38 Fed.Appx. 753, 2002 WL 1005101, C.A.3 (Pa.), May 17, 2002 (NO. 01-1952)</t>
  </si>
  <si>
    <t xml:space="preserve">Dam Things from Denmark, a/k/a Troll Company ApS, v. Russ Berrie &amp; Company, Inc., </t>
  </si>
  <si>
    <t>290 F.3d 548, 2002 WL 987427, 2002 Copr.L.Dec. P 28,436, 63 U.S.P.Q.2d 1001, C.A.3 (N.J.), May 14, 2002 (NO. 01-4422)</t>
  </si>
  <si>
    <t xml:space="preserve">Crissman v. Dover Downs Entertainment Inc., </t>
  </si>
  <si>
    <t>289 F.3d 231, 2002 WL 849446, C.A.3 (Del.), April 30, 2002 (NO. 00-5178)</t>
  </si>
  <si>
    <t xml:space="preserve">Carlos-Martinez v. Reno, </t>
  </si>
  <si>
    <t>33 Fed.Appx. 22, 2002 WL 730799, C.A.3, April 25, 2002 (NO. 00-3033)</t>
  </si>
  <si>
    <t xml:space="preserve">Fryer v. Noecker, </t>
  </si>
  <si>
    <t>34 Fed.Appx. 852, 2002 WL 992816, C.A.3 (Pa.), April 23, 2002 (NO. 01-3300)</t>
  </si>
  <si>
    <t xml:space="preserve">Katekovich v. Team Rent A Car of Pittsburgh, Inc., </t>
  </si>
  <si>
    <t>36 Fed.Appx. 688, 2002 WL 1288766, 23 NDLR P 99, C.A.3 (Pa.), April 19, 2002 (NO. 00-2389)</t>
  </si>
  <si>
    <t xml:space="preserve">Carter v. City of Philadelphia, </t>
  </si>
  <si>
    <t>35 Fed.Appx. 36, 2002 WL 992811, C.A.3 (Pa.), April 10, 2002 (NO. 00-3671)</t>
  </si>
  <si>
    <t xml:space="preserve">Canullas v. Quay Corp., </t>
  </si>
  <si>
    <t>31 Fed.Appx. 774, 2002 WL 485755, 27 Employee Benefits Cas. 2596, C.A.3 (N.J.), April 02, 2002 (NO. 01-2470)</t>
  </si>
  <si>
    <t xml:space="preserve">Catanese v. Vance, </t>
  </si>
  <si>
    <t>31 Fed.Appx. 776, 2002 WL 487158, C.A.3 (N.J.), April 02, 2002 (NO. 00-2176)</t>
  </si>
  <si>
    <t xml:space="preserve">Pontarelli v. U.S. Dept. of the Treasury, </t>
  </si>
  <si>
    <t>285 F.3d 216, 2002 WL 480107, C.A.3 (Pa.), March 29, 2002 (NO. 00-1268)</t>
  </si>
  <si>
    <t xml:space="preserve">Vazquez v. Rossnagle, </t>
  </si>
  <si>
    <t>31 Fed.Appx. 778, 2002 WL 480963, C.A.3 (Pa.), March 29, 2002 (NO. 01-1617)</t>
  </si>
  <si>
    <t xml:space="preserve">ProDent, Inc. v. Zurich U.S., </t>
  </si>
  <si>
    <t>33 Fed.Appx. 32, 2002 WL 480965, C.A.3 (Pa.), March 29, 2002 (NO. 01-2328)</t>
  </si>
  <si>
    <t xml:space="preserve">Soumounou v. I.N.S., </t>
  </si>
  <si>
    <t>32 Fed.Appx. 630, 2002 WL 481123, C.A.3, March 29, 2002 (NO. 01-2192)</t>
  </si>
  <si>
    <t xml:space="preserve">U.S. v. Nelson, </t>
  </si>
  <si>
    <t>284 F.3d 472, 2002 WL 459830, C.A.3 (N.J.), March 26, 2002 (NO. 01-1177)</t>
  </si>
  <si>
    <t xml:space="preserve">Lapid-Laurel, L.L.C. v. Zoning Bd. of Adjustment of Tp. of Scotch Plains, </t>
  </si>
  <si>
    <t>284 F.3d 442, 2002 WL 408082, 23 NDLR P 60, C.A.3 (N.J.), March 15, 2002 (NO. 00-3625)</t>
  </si>
  <si>
    <t xml:space="preserve">U.S. v. Williams, </t>
  </si>
  <si>
    <t>32 Fed.Appx. 21, 2002 WL 538735, C.A.3 (N.J.), March 15, 2002 (NO. 01-2378)</t>
  </si>
  <si>
    <t xml:space="preserve">Johnson v. Hoagland, </t>
  </si>
  <si>
    <t>32 Fed.Appx. 22, 2002 WL 538745, C.A.3 (N.J.), March 15, 2002 (NO. 01-2684)</t>
  </si>
  <si>
    <t xml:space="preserve">U.S. v. Morel, </t>
  </si>
  <si>
    <t>29 Fed.Appx. 903, 2002 WL 405105, C.A.3 (N.J.), March 14, 2002 (NO. 00-2039)</t>
  </si>
  <si>
    <t xml:space="preserve">U.S. v. Parra, </t>
  </si>
  <si>
    <t>29 Fed.Appx. 906, 2002 WL 405746, C.A.3 (N.J.), March 14, 2002 (NO. 01-2606)</t>
  </si>
  <si>
    <t xml:space="preserve">Bronga v. Massanari, </t>
  </si>
  <si>
    <t>32 Fed.Appx. 20, 2002 WL 538513, C.A.3 (N.J.), March 14, 2002 (NO. 01-3364)</t>
  </si>
  <si>
    <t xml:space="preserve">Helfant v. City of Margate, </t>
  </si>
  <si>
    <t>29 Fed.Appx. 902, 2002 WL 405630, C.A.3 (N.J.), March 13, 2002 (NO. 01-1301)</t>
  </si>
  <si>
    <t xml:space="preserve">Lutheran Broth. v. Kraynak, </t>
  </si>
  <si>
    <t>32 Fed.Appx. 19, 2002 WL 538504, C.A.3 (Pa.), March 12, 2002 (NO. 01-2285)</t>
  </si>
  <si>
    <t xml:space="preserve">Grosset v. Waste Management, Inc., </t>
  </si>
  <si>
    <t>31 Fed.Appx. 55, 2002 WL 340591, C.A.3 (Pa.), March 05, 2002 (NO. 01-1225)</t>
  </si>
  <si>
    <t xml:space="preserve">U.S. v. Rosario, </t>
  </si>
  <si>
    <t>39 Fed.Appx. 697, 2002 WL 340623, C.A.3 (Pa.), March 05, 2002 (NO. 01-1282)</t>
  </si>
  <si>
    <t xml:space="preserve">Johnson v. Elk Lake School Dist., </t>
  </si>
  <si>
    <t>283 F.3d 138, 2002 WL 334106, 162 Ed. Law Rep. 679, 58 Fed. R. Evid. Serv. 38, C.A.3 (Pa.), March 01, 2002 (NO. 00-1549)</t>
  </si>
  <si>
    <t xml:space="preserve">R.J. Reynolds Tobacco v. Philip Morris, Inc., </t>
  </si>
  <si>
    <t>29 Fed.Appx. 880, 2002 WL 334111, C.A.3 (Pa.), February 28, 2002 (NO. 00-4226)</t>
  </si>
  <si>
    <t xml:space="preserve">Civiello v. Rosemeyer, </t>
  </si>
  <si>
    <t>28 Fed.Appx. 127, 2002 WL 261681, C.A.3 (Pa.), February 22, 2002 (NO. 00-2108)</t>
  </si>
  <si>
    <t xml:space="preserve">U.S. v. Jake, </t>
  </si>
  <si>
    <t>281 F.3d 123, 2002 WL 225895, C.A.3 (Pa.), February 14, 2002 (NO. 00-1501)</t>
  </si>
  <si>
    <t xml:space="preserve">Rossman v. Fleet Bank (R.I.) Nat. Ass'n, </t>
  </si>
  <si>
    <t>280 F.3d 384, 2002 WL 200919, C.A.3 (Pa.), February 08, 2002 (NO. 01-1094)</t>
  </si>
  <si>
    <t xml:space="preserve">U.S. v. Matthews, </t>
  </si>
  <si>
    <t>29 Fed.Appx. 81, 2002 WL 205678, C.A.3 (Pa.), February 08, 2002 (NO. 01-2920, 01-1808)</t>
  </si>
  <si>
    <t xml:space="preserve">Sultan Chemists, Inc. v. U.S. E.P.A., </t>
  </si>
  <si>
    <t>281 F.3d 73, 2002 WL 221754, 53 ERC 2025, 32 Envtl. L. Rep. 20,478, C.A.3, February 06, 2002 (NO. 00-3711)</t>
  </si>
  <si>
    <t xml:space="preserve">U.S. v. Jasin, </t>
  </si>
  <si>
    <t>280 F.3d 355, 2002 WL 180261, C.A.3 (Pa.), February 05, 2002 (NO. 00-4185)</t>
  </si>
  <si>
    <t xml:space="preserve">Bailey v. United Airlines, </t>
  </si>
  <si>
    <t>279 F.3d 194, 2002 WL 130405, 88 Fair Empl.Prac.Cas. (BNA) 22, 82 Empl. Prac. Dec. P 40,940, 51 Fed.R.Serv.3d 809, C.A.3 (Pa.), February 01, 2002 (NO. 00-2537)</t>
  </si>
  <si>
    <t xml:space="preserve">LePage's Inc. v. 3M, </t>
  </si>
  <si>
    <t>277 F.3d 365, 2002 WL 46961, 2002-1 Trade Cases P 73,537, 2002-1 Trade Cases P 73,587, Withdrawn for N.R.S. bound volume, C.A.3 (Pa.), January 14, 2002 (NO. 00-1368, 00-1473)</t>
  </si>
  <si>
    <t xml:space="preserve">City of Philadelphia v. Beretta U.S.A. Corp., </t>
  </si>
  <si>
    <t>277 F.3d 415, 2002 WL 29740, Prod.Liab.Rep. (CCH) P 16,241, C.A.3 (Pa.), January 11, 2002 (NO. 01-1118)</t>
  </si>
  <si>
    <t xml:space="preserve">U.S. v. Szehinskyj, </t>
  </si>
  <si>
    <t>277 F.3d 331, 2002 WL 15374, C.A.3 (Pa.), January 07, 2002 (NO. 00-2467)</t>
  </si>
  <si>
    <t xml:space="preserve">Lloyd v. MBNA America Bank, N.A., </t>
  </si>
  <si>
    <t>27 Fed.Appx. 82, 2002 WL 21932, C.A.3 (Del.), January 07, 2002 (NO. 01-1752)</t>
  </si>
  <si>
    <t xml:space="preserve">Gritzer v. CBS, Inc., </t>
  </si>
  <si>
    <t>275 F.3d 291, 2002 WL 10197, 27 Employee Benefits Cas. 1271, Pens. Plan Guide (CCH) P 23977N, C.A.3 (Pa.), January 03, 2002 (NO. 01-1979)</t>
  </si>
  <si>
    <t xml:space="preserve">Highmark, Inc. v. UPMC Health Plan, Inc., </t>
  </si>
  <si>
    <t>276 F.3d 160, 2001 WL 1641243, 2002-1 Trade Cases P 73,521, 68 U.S.P.Q.2d 1823, C.A.3 (Pa.), December 21, 2001 (NO. 01-1377)</t>
  </si>
  <si>
    <t xml:space="preserve">E.I. DuPont de Nemours and Co. v. Rhone Poulenc Fiber and Resin Intermediates, S.A.S., </t>
  </si>
  <si>
    <t>269 F.3d 187, 2001 WL 1229797, C.A.3 (Del.), October 15, 2001 (NO. 00-3550)</t>
  </si>
  <si>
    <t xml:space="preserve">U.S. v. Vazquez, </t>
  </si>
  <si>
    <t>271 F.3d 93, 2001 WL 1188250, C.A.3 (Pa.), October 09, 2001 (NO. 99-3845)</t>
  </si>
  <si>
    <t xml:space="preserve">In re Brightful, </t>
  </si>
  <si>
    <t>267 F.3d 324, 2001 WL 1167263, Bankr. L. Rep. P 78,509, C.A.3 (Pa.), October 03, 2001 (NO. 00-1250)</t>
  </si>
  <si>
    <t xml:space="preserve">Comuso v. National R.R. Passenger Corp., </t>
  </si>
  <si>
    <t>267 F.3d 331, 2001 WL 1167268, 51 Fed.R.Serv.3d 44, C.A.3 (Pa.), October 03, 2001 (NO. 00-1491)</t>
  </si>
  <si>
    <t xml:space="preserve">De Leon-Reynoso v. Ashcroft, </t>
  </si>
  <si>
    <t>293 F.3d 633, 2002 WL 1283684, C.A.3 (Pa.), June 11, 2002 (NO. 01-2774)</t>
  </si>
  <si>
    <t>comments from oral argument</t>
  </si>
  <si>
    <t xml:space="preserve">Muldrow v. Brooks, </t>
  </si>
  <si>
    <t>34 Fed.Appx. 854, 2002 WL 1041112, C.A.3 (Pa.), April 29, 2002 (NO. 00-3730)</t>
  </si>
  <si>
    <t xml:space="preserve">oj </t>
  </si>
  <si>
    <t xml:space="preserve">Shea v. Massanari, </t>
  </si>
  <si>
    <t>32 Fed.Appx. 632, 2002 WL 481127, C.A.3 (Pa.), March 28, 2002 (NO. 01-2477)</t>
  </si>
  <si>
    <t xml:space="preserve">U.S v. Diaz-Himely, </t>
  </si>
  <si>
    <t>32 Fed.Appx. 23, 2002 WL 538744, C.A.3 (Pa.), March 20, 2002 (NO. 01-2410, 01-2511)</t>
  </si>
  <si>
    <t xml:space="preserve">Buchanan v. Pennsylvania, </t>
  </si>
  <si>
    <t>47 Fed.Appx. 117, 2002 WL 31104362, C.A.3 (Pa.), September 20, 2002 (NO. 01-2794)</t>
  </si>
  <si>
    <t xml:space="preserve">U.S. v. Jones, </t>
  </si>
  <si>
    <t>48 Fed.Appx. 835, 2002 WL 31260982, C.A.3 (Pa.), September 20, 2002 (NO. 01-1996)</t>
  </si>
  <si>
    <t xml:space="preserve">Lyons v. Mendez, </t>
  </si>
  <si>
    <t>303 F.3d 285, 2002 WL 31008815, C.A.3 (Pa.), September 09, 2002 (NO. 00-2822)</t>
  </si>
  <si>
    <t xml:space="preserve">U.S. v. Stewart, </t>
  </si>
  <si>
    <t>283 F.3d 579, 2002 WL 405100, C.A.3 (Pa.), March 14, 2002 (NO. 01-2037)</t>
  </si>
  <si>
    <t xml:space="preserve">Camden County Board of Chosen Freeholders v. Beretta, U.S.A. Corp., </t>
  </si>
  <si>
    <t>273 F.3d 536, 2001 WL 1456475, C.A.3 (N.J.), November 16, 2001 (NO. 01-1051)</t>
  </si>
  <si>
    <t xml:space="preserve">Borkon v. First Union Nat. Bank, </t>
  </si>
  <si>
    <t>47 Fed.Appx. 177, 2002 WL 31160107, C.A.3 (Pa.), September 30, 2002 (NO. 01-3775)</t>
  </si>
  <si>
    <t xml:space="preserve">Young v. Pennsauken Tp. School Dist., </t>
  </si>
  <si>
    <t>47 Fed.Appx. 160, 2002 WL 31151330, C.A.3 (N.J.), September 27, 2002 (NO. 01-4455)</t>
  </si>
  <si>
    <t xml:space="preserve">U.S. v. Daniels, </t>
  </si>
  <si>
    <t>48 Fed.Appx. 409, 2002 WL 31255451, C.A.3 (Pa.), September 26, 2002 (NO. 00-2286)</t>
  </si>
  <si>
    <t xml:space="preserve">Ferranti Intern., PLC v. Jasin, </t>
  </si>
  <si>
    <t>47 Fed.Appx. 103, 2002 WL 31081539, C.A.3 (Pa.), September 18, 2002 (NO. 01-2612)</t>
  </si>
  <si>
    <t xml:space="preserve">Tallman v. Barnegat Bd. of Educ., </t>
  </si>
  <si>
    <t>43 Fed.Appx. 490, 2002 WL 1925445, C.A.3 (N.J.), August 21, 2002 (NO. 01-2423)</t>
  </si>
  <si>
    <t xml:space="preserve">R&amp;B, Inc. v. Needa Parts Mfg., Inc., </t>
  </si>
  <si>
    <t>50 Fed.Appx. 519, 2002 WL 1905361, 2002 Copr.L.Dec. P 28,478, C.A.3 (Pa.), August 20, 2002 (NO. 01-3411)</t>
  </si>
  <si>
    <t xml:space="preserve">Ramada Franchise Systems, Inc. v. Pleasant, Inc., </t>
  </si>
  <si>
    <t>43 Fed.Appx. 489, 2002 WL 1940175, C.A.3 (N.J.), August 20, 2002 (NO. 01-3695)</t>
  </si>
  <si>
    <t xml:space="preserve">Temple University of Commonwealth System of Higher Educ. ex rel. Temple University Clinical Faculty Practice Plans Temple University School of Medicine v. Rehnquist, </t>
  </si>
  <si>
    <t>46 Fed.Appx. 124, 2002 WL 31012237, C.A.3 (Pa.), August 20, 2002 (NO. 01-3862)</t>
  </si>
  <si>
    <t xml:space="preserve">U.S. v. Villegas, </t>
  </si>
  <si>
    <t>41 Fed.Appx. 565, 2002 WL 1754400, C.A.3 (Pa.), July 26, 2002 (NO. 01-2821)</t>
  </si>
  <si>
    <t xml:space="preserve">U.S. v. Roldan-Hernandez, </t>
  </si>
  <si>
    <t>41 Fed.Appx. 576, 2002 WL 1754439, C.A.3 (Pa.), July 26, 2002 (NO. 01-2368)</t>
  </si>
  <si>
    <t xml:space="preserve">Hruban v. Steinman, </t>
  </si>
  <si>
    <t>40 Fed.Appx. 723, 2002 WL 1723889, C.A.3 (Pa.), July 25, 2002 (NO. 01-2277)</t>
  </si>
  <si>
    <t xml:space="preserve">U.S. v. Hall, </t>
  </si>
  <si>
    <t>44 Fed.Appx. 532, 2002 WL 1809652, C.A.3 (Pa.), July 25, 2002 (NO. 00-2765, 00-2824, 00-2775)</t>
  </si>
  <si>
    <t xml:space="preserve">Nedmac Associates, Inc. v. City of Camden, </t>
  </si>
  <si>
    <t>38 Fed.Appx. 835, 2002 WL 1589922, C.A.3 (N.J.), July 19, 2002 (NO. 01-4534)</t>
  </si>
  <si>
    <t xml:space="preserve">Prudential Ins. Co. of America v. Massaro, </t>
  </si>
  <si>
    <t>38 Fed.Appx. 828, 2002 WL 1589921, C.A.3 (N.J.), July 18, 2002 (NO. 01-2977)</t>
  </si>
  <si>
    <t>47 Fed.Appx. 618, 2002 WL 31300042, C.A.3 (N.J.), July 18, 2002 (NO. 01-2977)</t>
  </si>
  <si>
    <t xml:space="preserve">U.S. v. Gomez, </t>
  </si>
  <si>
    <t>39 Fed.Appx. 794, 2002 WL 1575908, C.A.3 (Del.), July 17, 2002 (NO. 01-1217)</t>
  </si>
  <si>
    <t xml:space="preserve">Miller v. Township of Readington, </t>
  </si>
  <si>
    <t>39 Fed.Appx. 774, 2002 WL 1480777, C.A.3 (N.J.), July 09, 2002 (NO. 01---3641)</t>
  </si>
  <si>
    <t xml:space="preserve">U.S. v. Chen, </t>
  </si>
  <si>
    <t>42 Fed.Appx. 537, 2002 WL 1809570, C.A.3 (Pa.), July 09, 2002 (NO. 01-3573)</t>
  </si>
  <si>
    <t xml:space="preserve">Smith v. Henderson, </t>
  </si>
  <si>
    <t>39 Fed.Appx. 760, 2002 WL 1446617, C.A.3 (Pa.), July 03, 2002 (NO. 01-3698)</t>
  </si>
  <si>
    <t xml:space="preserve">Spruill v. Rosemeyer, </t>
  </si>
  <si>
    <t>36 Fed.Appx. 488, 2002 WL 1283390, C.A.3 (Pa.), May 28, 2002 (NO. 00-1505)</t>
  </si>
  <si>
    <t xml:space="preserve">U.S. v. Rendon, </t>
  </si>
  <si>
    <t>41 Fed.Appx. 527, 2002 WL 1754391, C.A.3 (Pa.), May 24, 2002 (NO. 01-2374)</t>
  </si>
  <si>
    <t xml:space="preserve">U.S. v. Burgos, </t>
  </si>
  <si>
    <t>46 Fed.Appx. 101, 2002 WL 31027886, C.A.3 (Pa.), May 24, 2002 (NO. 00-1059)</t>
  </si>
  <si>
    <t xml:space="preserve">U.S. v. Drake, </t>
  </si>
  <si>
    <t>38 Fed.Appx. 698, 2002 WL 1020972, C.A.3 (Pa.), May 21, 2002 (NO. 98-1388)</t>
  </si>
  <si>
    <t xml:space="preserve">Brown v. U.S., </t>
  </si>
  <si>
    <t>45 Fed.Appx. 92, 2002 WL 596840, C.A.3 (N.J.), April 18, 2002 (NO. 99-5767)</t>
  </si>
  <si>
    <t xml:space="preserve">Herbert v. Wilbur, </t>
  </si>
  <si>
    <t>34 Fed.Appx. 828, 2002 WL 596839, C.A.3 (Pa.), April 17, 2002 (NO. 01-2629)</t>
  </si>
  <si>
    <t xml:space="preserve">Sinopoli v. American Arbitration Ass'n, </t>
  </si>
  <si>
    <t>31 Fed.Appx. 61, 2002 WL 463291, C.A.3 (N.J.), March 25, 2002 (NO. 01-1268)</t>
  </si>
  <si>
    <t xml:space="preserve">U.S. v. McArthur, </t>
  </si>
  <si>
    <t>29 Fed.Appx. 891, 2002 WL 449153, C.A.3 (N.J.), March 22, 2002 (NO. 01-2621)</t>
  </si>
  <si>
    <t xml:space="preserve">Bryan v. All Out Die Cutting, Inc., </t>
  </si>
  <si>
    <t>32 Fed.Appx. 651, 2002 WL 451809, C.A.3 (N.J.), March 22, 2002 (NO. 01-2227)</t>
  </si>
  <si>
    <t xml:space="preserve">Garner v. Commissioner of Social Sec., </t>
  </si>
  <si>
    <t>29 Fed.Appx. 891, 2002 WL 440572, C.A.3 (Pa.), March 21, 2002 (NO. 01-3551)</t>
  </si>
  <si>
    <t xml:space="preserve">Shinko v. Miele, </t>
  </si>
  <si>
    <t>29 Fed.Appx. 890, 2002 WL 431876, C.A.3 (Pa.), March 19, 2002 (NO. 01-3179, 01-3180)</t>
  </si>
  <si>
    <t xml:space="preserve">Spa Time, Inc. v. Bally Total Fitness Corp., </t>
  </si>
  <si>
    <t>28 Fed.Appx. 131, 2002 WL 171601, C.A.3 (N.J.), February 01, 2002 (NO. 01-1706)</t>
  </si>
  <si>
    <t xml:space="preserve">Cargill Alliant, LLC v. GPU Services, Inc., </t>
  </si>
  <si>
    <t>29 Fed.Appx. 820, 2002 WL 393032, C.A.3 (Pa.), February 01, 2002 (NO. 01-1605)</t>
  </si>
  <si>
    <t xml:space="preserve">Public Service Elec. &amp; Gas Co. v. Local 94 Intern. Broth. of Elec. Workers, </t>
  </si>
  <si>
    <t>27 Fed.Appx. 127, 2002 WL 125586, 171 L.R.R.M. (BNA) 3214, C.A.3 (N.J.), January 31, 2002 (NO. 01-2147)</t>
  </si>
  <si>
    <t xml:space="preserve">Hannahoe v. Dana Corp., </t>
  </si>
  <si>
    <t>27 Fed.Appx. 128, 2002 WL 125587, C.A.3 (Pa.), January 31, 2002 (NO. 01-1961)</t>
  </si>
  <si>
    <t xml:space="preserve">Wilson v. Massanari, </t>
  </si>
  <si>
    <t>27 Fed.Appx. 136, 2002 WL 130415, C.A.3 (Pa.), January 31, 2002 (NO. 01-2544)</t>
  </si>
  <si>
    <t xml:space="preserve">Ash-Bey v. Fauntleroy, </t>
  </si>
  <si>
    <t>27 Fed.Appx. 135, 2002 WL 125583, C.A.3 (N.J.), January 30, 2002 (NO. 01-1865)</t>
  </si>
  <si>
    <t xml:space="preserve">U.S. v. Allen, </t>
  </si>
  <si>
    <t>29 Fed.Appx. 819, 2002 WL 125588, C.A.3 (N.J.), January 30, 2002 (NO. 01-1908)</t>
  </si>
  <si>
    <t xml:space="preserve">Bushman v. Mendez, </t>
  </si>
  <si>
    <t>29 Fed.Appx. 100 (Table), 2002 WL 112467, C.A.3 (Pa.), January 29, 2002 (NO. 01-1488)</t>
  </si>
  <si>
    <t>27 Fed.Appx. 132, 2002 WL 112470, C.A.3 (Pa.), January 29, 2002 (NO. 01-1924)</t>
  </si>
  <si>
    <t xml:space="preserve">Coates v. U.S. Dept. of Labor, </t>
  </si>
  <si>
    <t>28 Fed.Appx. 136, 2002 WL 199743, C.A.3 (Pa.), January 28, 2002 (NO. 01-2365)</t>
  </si>
  <si>
    <t xml:space="preserve">U.S. v. Meyer, </t>
  </si>
  <si>
    <t>27 Fed.Appx. 126, 2002 WL 100650, C.A.3 (Pa.), January 25, 2002 (NO. 01-2281)</t>
  </si>
  <si>
    <t xml:space="preserve">In re Jones, </t>
  </si>
  <si>
    <t>28 Fed.Appx. 133, 2002 WL 199683, C.A.3 (Del.), January 17, 2002 (NO. 01-4312)</t>
  </si>
  <si>
    <t xml:space="preserve">Harris v. Allstate Ins. Co., </t>
  </si>
  <si>
    <t>300 F.3d 1183, 2002 WL 1874825, C.A.10 (Okla.), August 15, 2002 (NO. 01-6226)</t>
  </si>
  <si>
    <t xml:space="preserve">Velez v. QVC, Inc., </t>
  </si>
  <si>
    <t>227 F.Supp.2d 384, 2002 WL 31202754, E.D.Pa., September 27, 2002 (NO. CIV.A. 00-5582)</t>
  </si>
  <si>
    <t xml:space="preserve">In re Shannopin Mining Co., </t>
  </si>
  <si>
    <t>Not Reported in F.Supp.2d, 2002 WL 31002883, 90 A.F.T.R.2d 2002-5790, W.D.Pa., July 15, 2002 (NO. 96-2185)</t>
  </si>
  <si>
    <t xml:space="preserve">Freedom Baptist Church of Delaware County v. Tp. of Middletown, </t>
  </si>
  <si>
    <t>204 F.Supp.2d 857, 2002 WL 927804, E.D.Pa., May 08, 2002 (NO. CIV.A. 01-5345)</t>
  </si>
  <si>
    <t xml:space="preserve">Walz ex rel. Walz v. Egg Harbor Tp. Bd. of Educ., </t>
  </si>
  <si>
    <t>187 F.Supp.2d 232, 2002 WL 200086, 162 Ed. Law Rep. 738, D.N.J., February 11, 2002 (NO. CIV.00-2149(JBS))</t>
  </si>
  <si>
    <t xml:space="preserve">U.S. v. Swida, </t>
  </si>
  <si>
    <t>180 F.Supp.2d 652, 2002 WL 54658, M.D.Pa., January 15, 2002 (NO. 3:CR-98-295)</t>
  </si>
  <si>
    <t xml:space="preserve">Engelsma v. U.S., </t>
  </si>
  <si>
    <t>Not Reported in F.Supp.2d, 2001 WL 1497109, D.Me., November 26, 2001 (NO. 98-27-B-S, 01-181-B-S)</t>
  </si>
  <si>
    <t xml:space="preserve">c </t>
  </si>
  <si>
    <t xml:space="preserve">U.S. v. Ellis, </t>
  </si>
  <si>
    <t>Not Reported in F.Supp.2d, 2001 WL 1273738, D.Me., October 22, 2001 (NO. 01-22-B-S, 97-44-B-S)</t>
  </si>
  <si>
    <t xml:space="preserve">U.S. v. Comstock, </t>
  </si>
  <si>
    <t>130 S.Ct. 1949, 2010 WL 1946729, 176 L.Ed.2d 878, 78 USLW 4412, 10 Cal. Daily Op. Serv. 6016, 2010 Daily Journal D.A.R. 7096, 22 Fla. L. Weekly Fed. S 305, U.S., May 17, 2010 (NO. 08-1224)</t>
  </si>
  <si>
    <t>d,c</t>
  </si>
  <si>
    <t xml:space="preserve">Graham v. Florida, </t>
  </si>
  <si>
    <t>130 S.Ct. 2011, 2010 WL 1946731, 176 L.Ed.2d 825, 78 USLW 4387, 10 Cal. Daily Op. Serv. 5996, 2010 Daily Journal D.A.R. 7115, 22 Fla. L. Weekly Fed. S 328, U.S., May 17, 2010 (NO. 08-7412)</t>
  </si>
  <si>
    <t>d,d</t>
  </si>
  <si>
    <t xml:space="preserve">Padilla v. Kentucky, </t>
  </si>
  <si>
    <t>130 S.Ct. 1473, 2010 WL 1222274, 176 L.Ed.2d 284, 78 USLW 4235, 10 Cal. Daily Op. Serv. 3989, 22 Fla. L. Weekly Fed. S 211, U.S.Ky., March 31, 2010 (NO. 08-651)</t>
  </si>
  <si>
    <t>c,c</t>
  </si>
  <si>
    <t xml:space="preserve">Graham County Soil and Water Conservation Dist. v. U.S. ex rel. Wilson, </t>
  </si>
  <si>
    <t>130 S.Ct. 1396, 2010 WL 1189557, 176 L.Ed.2d 225, 78 USLW 4214, 10 Cal. Daily Op. Serv. 3906, 2010 Daily Journal D.A.R. 4706, 22 Fla. L. Weekly Fed. S 188, U.S., March 30, 2010 (NO. 08-304)</t>
  </si>
  <si>
    <t xml:space="preserve">Kucana v. Holder, </t>
  </si>
  <si>
    <t>130 S.Ct. 827, 2010 WL 173368, 78 USLW 4056, 10 Cal. Daily Op. Serv. 746, 2010 Daily Journal D.A.R. 903, 22 Fla. L. Weekly Fed. S 68, U.S., January 20, 2010 (NO. 08-911)</t>
  </si>
  <si>
    <t xml:space="preserve">Smith v. Spisak, </t>
  </si>
  <si>
    <t>130 S.Ct. 676, 2010 WL 86341, 175 L.Ed.2d 595, 78 USLW 4031, 10 Cal. Daily Op. Serv. 392, 22 Fla. L. Weekly Fed. S 35, U.S., January 12, 2010 (NO. 08-724)</t>
  </si>
  <si>
    <t xml:space="preserve">U.S. v. Webster, </t>
  </si>
  <si>
    <t>623 F.3d 901, 2010 WL 3784829, 10 Cal. Daily Op. Serv. 12,687, 2010 Daily Journal D.A.R. 15,308, C.A.9 (Mont.), September 30, 2010 (NO. 09-30173)</t>
  </si>
  <si>
    <t xml:space="preserve">Souliotes v. Evans, </t>
  </si>
  <si>
    <t>622 F.3d 1173, 2010 WL 3619908, 10 Cal. Daily Op. Serv. 12,194, 2010 Daily Journal D.A.R. 14,736, C.A.9 (Cal.), September 20, 2010 (NO. 08-15943)</t>
  </si>
  <si>
    <t xml:space="preserve">In re Cao, </t>
  </si>
  <si>
    <t>619 F.3d 410, 2010 WL 3517263, C.A.5 (La.), September 10, 2010 (NO. 10-30080, 10-30146)</t>
  </si>
  <si>
    <t xml:space="preserve">U.S. v. Seay, </t>
  </si>
  <si>
    <t>620 F.3d 919, 2010 WL 3489042, C.A.8 (S.D.), September 08, 2010 (NO. 09-2778)</t>
  </si>
  <si>
    <t xml:space="preserve">U.S. v. Walker, </t>
  </si>
  <si>
    <t>392 Fed.Appx. 919, 2010 WL 3394268, C.A.3 (Pa.), August 30, 2010 (NO. 06-2017, 06-3359, 06-2629, 06-4509, 06-3062)</t>
  </si>
  <si>
    <t xml:space="preserve">U.S. v. Di Pietro, </t>
  </si>
  <si>
    <t>615 F.3d 1369, 2010 WL 3365912, 22 Fla. L. Weekly Fed. C 1404, C.A.11 (Fla.), August 27, 2010 (NO. 09-13726)</t>
  </si>
  <si>
    <t xml:space="preserve">Schleicher v. Wendt, </t>
  </si>
  <si>
    <t>618 F.3d 679, 2010 WL 3271964, Fed. Sec. L. Rep. P 95,932, C.A.7 (Ind.), August 20, 2010 (NO. 09-2154)</t>
  </si>
  <si>
    <t xml:space="preserve">Garland v. Roy, </t>
  </si>
  <si>
    <t>615 F.3d 391, 2010 WL 3190703, C.A.5 (Tex.), August 13, 2010 (NO. 09-40735)</t>
  </si>
  <si>
    <t xml:space="preserve">U.S. v. Jeffries, </t>
  </si>
  <si>
    <t>615 F.3d 909, 2010 WL 3034762, C.A.8 (S.D.), August 05, 2010 (NO. 09-3377)</t>
  </si>
  <si>
    <t xml:space="preserve">U.S. v. Marzzarella, </t>
  </si>
  <si>
    <t>614 F.3d 85, 2010 WL 2947233, C.A.3 (Pa.), July 29, 2010 (NO. 09-3185)</t>
  </si>
  <si>
    <t xml:space="preserve">U.S. v. Irey, </t>
  </si>
  <si>
    <t>612 F.3d 1160, 2010 WL 2949465, 22 Fla. L. Weekly Fed. C 1231, C.A.11 (Fla.), July 29, 2010 (NO. 08-10997)</t>
  </si>
  <si>
    <t xml:space="preserve">Banuelos-Ayon v. Holder, </t>
  </si>
  <si>
    <t>611 F.3d 1080, 2010 WL 2757372, 10 Cal. Daily Op. Serv. 8983, 2010 Daily Journal D.A.R. 10,950, C.A.9, July 14, 2010 (NO. 07-71667)</t>
  </si>
  <si>
    <t xml:space="preserve">A.A. ex rel. Betenbaugh v. Needville Indep. School Dist., </t>
  </si>
  <si>
    <t>611 F.3d 248, 2010 WL 2696846, 258 Ed. Law Rep. 955, C.A.5 (Tex.), July 09, 2010 (NO. 09-20091)</t>
  </si>
  <si>
    <t xml:space="preserve">U.S. v. Vasquez, </t>
  </si>
  <si>
    <t>611 F.3d 325, 2010 WL 2605867, C.A.7 (Ill.), July 01, 2010 (NO. 09-2411)</t>
  </si>
  <si>
    <t>c,d,d</t>
  </si>
  <si>
    <t xml:space="preserve">Murdoch v. Castro, </t>
  </si>
  <si>
    <t>609 F.3d 983, 2010 WL 2473235, 10 Cal. Daily Op. Serv. 7760, 2010 Daily Journal D.A.R. 9274, C.A.9 (Cal.), June 21, 2010 (NO. 05-55665)</t>
  </si>
  <si>
    <t xml:space="preserve">Gor v. Holder, </t>
  </si>
  <si>
    <t>607 F.3d 180, 2010 WL 2219670, C.A.6, June 04, 2010 (NO. 08-3859)</t>
  </si>
  <si>
    <t xml:space="preserve">In re Beard, </t>
  </si>
  <si>
    <t>383 Fed.Appx. 132, 2010 WL 2232276, C.A.3 (Pa.), June 03, 2010 (NO. 10-9003)</t>
  </si>
  <si>
    <t xml:space="preserve">U.S. v. Brenton-Farley, </t>
  </si>
  <si>
    <t>607 F.3d 1294, 2010 WL 2179617, 22 Fla. L. Weekly Fed. C 905, C.A.11 (Ga.), June 02, 2010 (NO. 08-15882)</t>
  </si>
  <si>
    <t xml:space="preserve">Indiana Protection And Advocacy Services v. Indiana Family And Social Services Admin., </t>
  </si>
  <si>
    <t>376 Fed.Appx. 630, 2010 WL 2115386, C.A.7 (Ind.), May 26, 2010 (NO. 08-3183)</t>
  </si>
  <si>
    <t xml:space="preserve">U.S. v. Palomino Garcia, </t>
  </si>
  <si>
    <t>606 F.3d 1317, 2010 WL 2011038, 22 Fla. L. Weekly Fed. C 870, C.A.11 (Fla.), May 21, 2010 (NO. 09-10534)</t>
  </si>
  <si>
    <t xml:space="preserve">Rodriguez v. Maricopa County Community College Dist., </t>
  </si>
  <si>
    <t>605 F.3d 703, 2010 WL 1997405, 109 Fair Empl.Prac.Cas. (BNA) 485, 93 Empl. Prac. Dec. P 43,884, 257 Ed. Law Rep. 30, 10 Cal. Daily Op. Serv. 6110, 2010 Daily Journal D.A.R. 7339, C.A.9 (Ariz.), May 20, 2010 (NO. 08-16073)</t>
  </si>
  <si>
    <t xml:space="preserve">U.S. v. Monea, </t>
  </si>
  <si>
    <t>376 Fed.Appx. 531, 2010 WL 1851313, C.A.6 (Ohio), May 11, 2010 (NO. 08-3102, 08-3490)</t>
  </si>
  <si>
    <t xml:space="preserve">Kodish v. Oakbrook Terrace Fire Protection Dist., </t>
  </si>
  <si>
    <t>604 F.3d 490, 2010 WL 1838804, 188 L.R.R.M. (BNA) 2513, 159 Lab.Cas. P 60,997, 30 IER Cases 1282, C.A.7 (Ill.), May 10, 2010 (NO. 08-1976)</t>
  </si>
  <si>
    <t xml:space="preserve">U.S. v. Dean, </t>
  </si>
  <si>
    <t>604 F.3d 1275, 2010 WL 1687618, 22 Fla. L. Weekly Fed. C 738, C.A.11 (Ala.), April 28, 2010 (NO. 09-13115)</t>
  </si>
  <si>
    <t xml:space="preserve">Indiana Protection and Advocacy Services v. Indiana Family and Social Services Admin., </t>
  </si>
  <si>
    <t>603 F.3d 365, 2010 WL 1610117, C.A.7 (Ind.), April 22, 2010 (NO. 08-3183)</t>
  </si>
  <si>
    <t xml:space="preserve">U.S. v. Heilman, </t>
  </si>
  <si>
    <t>377 Fed.Appx. 157, 2010 WL 1583097, C.A.3 (Pa.), April 21, 2010 (NO. 08-2195)</t>
  </si>
  <si>
    <t>376 Fed.Appx. 205, 2010 WL 1552804, C.A.3 (Pa.), April 19, 2010 (NO. 09-3810)</t>
  </si>
  <si>
    <t xml:space="preserve">Blankenship v. USA Truck, Inc., </t>
  </si>
  <si>
    <t>601 F.3d 852, 2010 WL 1489551, 159 Lab.Cas. P 60,978, 30 IER Cases 1037, C.A.8 (Ark.), April 15, 2010 (NO. 09-1605)</t>
  </si>
  <si>
    <t xml:space="preserve">U.S. v. Smith, </t>
  </si>
  <si>
    <t>601 F.3d 530, 2010 WL 1330142, C.A.6 (Mich.), April 07, 2010 (NO. 08-2345, 08-2366)</t>
  </si>
  <si>
    <t xml:space="preserve">U.S. v. Van Nguyen, </t>
  </si>
  <si>
    <t>602 F.3d 886, 2010 WL 1253783, C.A.8 (Iowa), April 02, 2010 (NO. 08-3791, 08-3854, 08-3804)</t>
  </si>
  <si>
    <t xml:space="preserve">U.S. v. Gonzalez, </t>
  </si>
  <si>
    <t>598 F.3d 1095, 2010 WL 917204, 10 Cal. Daily Op. Serv. 3257, 2010 Daily Journal D.A.R. 4004, C.A.9, March 16, 2010 (NO. 07-30098)</t>
  </si>
  <si>
    <t xml:space="preserve">U.S. v. Davis, </t>
  </si>
  <si>
    <t>598 F.3d 1259, 2010 WL 810984, 22 Fla. L. Weekly Fed. C 605, C.A.11 (Ala.), March 11, 2010 (NO. 08-16654)</t>
  </si>
  <si>
    <t xml:space="preserve">U.S. v. Stearn, </t>
  </si>
  <si>
    <t>597 F.3d 540, 2010 WL 774196, C.A.3 (Pa.), March 09, 2010 (NO. 08-3230)</t>
  </si>
  <si>
    <t xml:space="preserve">U.S. v. Cheeseman, </t>
  </si>
  <si>
    <t>600 F.3d 270, 2010 WL 699550, C.A.3 (Del.), March 02, 2010 (NO. 09-1756)</t>
  </si>
  <si>
    <t xml:space="preserve">U.S. v. Tracey, </t>
  </si>
  <si>
    <t>597 F.3d 140, 2010 WL 681364, C.A.3 (Pa.), March 01, 2010 (NO. 08-3290)</t>
  </si>
  <si>
    <t xml:space="preserve">Mason v. SmithKline Beecham Corp., </t>
  </si>
  <si>
    <t>596 F.3d 387, 2010 WL 605922, Prod.Liab.Rep. (CCH) P 18,373, C.A.7 (Ill.), February 23, 2010 (NO. 08-2265)</t>
  </si>
  <si>
    <t xml:space="preserve">Worldwide Network Services, LLC v. Dyncorp Intern., LLC, </t>
  </si>
  <si>
    <t>365 Fed.Appx. 432, 2010 WL 489477, C.A.4 (Va.), February 12, 2010 (NO. 08-2108, 08-2166)</t>
  </si>
  <si>
    <t xml:space="preserve">J.S. ex rel. Snyder v. Blue Mountain School Dist., </t>
  </si>
  <si>
    <t>593 F.3d 286, 2010 WL 376186, 253 Ed. Law Rep. 48, C.A.3 (Pa.), February 04, 2010 (NO. 08-4138)</t>
  </si>
  <si>
    <t>m,c</t>
  </si>
  <si>
    <t xml:space="preserve">Jackson v. Danberg, </t>
  </si>
  <si>
    <t>594 F.3d 210, 2010 WL 337319, C.A.3 (Del.), February 01, 2010 (NO. 09-1925, 09-2052)</t>
  </si>
  <si>
    <t xml:space="preserve">Corcoran v. Levenhagen, </t>
  </si>
  <si>
    <t>593 F.3d 547, 2010 WL 292666, C.A.7 (Ind.), January 27, 2010 (NO. 07-2093, 07-2182)</t>
  </si>
  <si>
    <t xml:space="preserve">Kawashima v. Holder, </t>
  </si>
  <si>
    <t>593 F.3d 979, 2010 WL 293254, 10 Cal. Daily Op. Serv. 1120, 2010 Daily Journal D.A.R. 1384, C.A.9, January 27, 2010 (NO. 04-74313, 05-74408)</t>
  </si>
  <si>
    <t xml:space="preserve">U.S. v. Spencer, </t>
  </si>
  <si>
    <t>592 F.3d 866, 2010 WL 184079, C.A.8 (Minn.), January 21, 2010 (NO. 09-1197, 09-1196)</t>
  </si>
  <si>
    <t xml:space="preserve">Demahy v. Actavis, Inc., </t>
  </si>
  <si>
    <t>593 F.3d 428, 2010 WL 46513, Prod.Liab.Rep. (CCH) P 18,346, C.A.5 (La.), January 08, 2010 (NO. 08-31204)</t>
  </si>
  <si>
    <t xml:space="preserve">Cunningham v. District Attorney's Office for Escambia County, </t>
  </si>
  <si>
    <t>592 F.3d 1237, 2010 WL 21180, 22 Fla. L. Weekly Fed. C 389, C.A.11 (Ala.), January 06, 2010 (NO. 07-10808)</t>
  </si>
  <si>
    <t xml:space="preserve">U.S. v. Henao-Melo, </t>
  </si>
  <si>
    <t>591 F.3d 798, 2009 WL 4936385, C.A.5 (Tex.), December 22, 2009 (NO. 08-41313)</t>
  </si>
  <si>
    <t xml:space="preserve">Mahaffey v. Ramos, </t>
  </si>
  <si>
    <t>588 F.3d 1142, 2009 WL 4894670, C.A.7 (Ill.), December 21, 2009 (NO. 08-3916)</t>
  </si>
  <si>
    <t xml:space="preserve">Pinholster v. Ayers, </t>
  </si>
  <si>
    <t>590 F.3d 651, 2009 WL 4641748, 09 Cal. Daily Op. Serv. 14,586, 2009 Daily Journal D.A.R. 17,341, C.A.9 (Cal.), December 09, 2009 (NO. 03-99003, 03-99008)</t>
  </si>
  <si>
    <t xml:space="preserve">Cooey v. Strickland, </t>
  </si>
  <si>
    <t>589 F.3d 210, 2009 WL 4609135, C.A.6 (Ohio), December 07, 2009 (NO. 09-4474)</t>
  </si>
  <si>
    <t xml:space="preserve">Morgan v. Plano Independent School Dist., </t>
  </si>
  <si>
    <t>589 F.3d 740, 2009 WL 4265219, 251 Ed. Law Rep. 551, C.A.5 (Tex.), December 01, 2009 (NO. 08-40707)</t>
  </si>
  <si>
    <t xml:space="preserve">Brata v. Holder, </t>
  </si>
  <si>
    <t>353 Fed.Appx. 645, 2009 WL 4042762, C.A.2, November 24, 2009 (NO. 08-4680-AG)</t>
  </si>
  <si>
    <t xml:space="preserve">Kaneff v. Delaware Title Loans, Inc., </t>
  </si>
  <si>
    <t>587 F.3d 616, 2009 WL 4042926, C.A.3 (Pa.), November 24, 2009 (NO. 08-1007)</t>
  </si>
  <si>
    <t xml:space="preserve">Stratechuk v. Board of Educ., South Orange-Maplewood School Dist., </t>
  </si>
  <si>
    <t>587 F.3d 597, 2009 WL 4042934, 250 Ed. Law Rep. 907, C.A.3 (N.J.), November 24, 2009 (NO. 08-3826)</t>
  </si>
  <si>
    <t xml:space="preserve">U.S. v. Cooks, </t>
  </si>
  <si>
    <t>589 F.3d 173, 2009 WL 4022278, C.A.5 (Tex.), November 23, 2009 (NO. 07-11151)</t>
  </si>
  <si>
    <t xml:space="preserve">Brown v. J.B. Hunt Transport Services, Inc., </t>
  </si>
  <si>
    <t>586 F.3d 1079, 2009 WL 3818374, 48 Employee Benefits Cas. 1004, C.A.8 (Ark.), November 17, 2009 (NO. 08-3803)</t>
  </si>
  <si>
    <t>590 F.3d 93, 2009 WL 4975286, C.A.2 (N.Y.), December 23, 2009 (NO. 06-5015-CR (L), 06-5131-CR (CON), 06-5031-CR (CON), 06-5135-CR (CON), 06-5093-CR (CON), 06-5143-CR (CON))</t>
  </si>
  <si>
    <t xml:space="preserve">U.S. v. Villar, </t>
  </si>
  <si>
    <t>586 F.3d 76, 2009 WL 3738787, 81 Fed. R. Evid. Serv. 13, C.A.1 (N.H.), November 10, 2009 (NO. 08-1154)</t>
  </si>
  <si>
    <t xml:space="preserve">Jones v. Byrnes, </t>
  </si>
  <si>
    <t>585 F.3d 971, 2009 WL 3718110, C.A.6 (Mich.), November 09, 2009 (NO. 08-1889)</t>
  </si>
  <si>
    <t xml:space="preserve">Al-Ghorbani v. Holder, </t>
  </si>
  <si>
    <t>585 F.3d 980, 2009 WL 3718297, C.A.6, November 09, 2009 (NO. 08-3376)</t>
  </si>
  <si>
    <t xml:space="preserve">In re Paige, </t>
  </si>
  <si>
    <t>584 F.3d 1327, 2009 WL 3584940, 52 Bankr.Ct.Dec. 91, C.A.10 (Utah), November 03, 2009 (NO. 08-4104)</t>
  </si>
  <si>
    <t>c,d</t>
  </si>
  <si>
    <t xml:space="preserve">U.S. v. Van Alstyne, </t>
  </si>
  <si>
    <t>584 F.3d 803, 2009 WL 3381144, 09 Cal. Daily Op. Serv. 12,904, 2009 Daily Journal D.A.R. 15,065, C.A.9 (Cal.), October 22, 2009 (NO. 07-50105)</t>
  </si>
  <si>
    <t xml:space="preserve">U.S. v. Bueno, </t>
  </si>
  <si>
    <t>585 F.3d 847, 2009 WL 3321028, C.A.5 (Tex.), October 15, 2009 (NO. 07-10451)</t>
  </si>
  <si>
    <t xml:space="preserve">Rhodes v. Secretary, Dept. of Corrections, </t>
  </si>
  <si>
    <t>Slip Copy, 2010 WL 3819358, M.D.Fla., September 30, 2010 (NO. 8:09-CV-1350-T-17TBM)</t>
  </si>
  <si>
    <t xml:space="preserve">Johnson v. Jabe, </t>
  </si>
  <si>
    <t>Slip Copy, 2010 WL 3835207, W.D.Va., September 30, 2010 (NO. 7:09CV00300)</t>
  </si>
  <si>
    <t xml:space="preserve">Williams v. Vaughn, </t>
  </si>
  <si>
    <t>Slip Copy, 2010 WL 5564544, E.D.Pa., September 30, 2010 (NO. CIV.A. 95-79)</t>
  </si>
  <si>
    <t>m,m</t>
  </si>
  <si>
    <t xml:space="preserve">Spady v. Wesley College, </t>
  </si>
  <si>
    <t>Slip Copy, 2010 WL 3907357, D.Del., September 29, 2010 (NO. CIV.A. 09-834)</t>
  </si>
  <si>
    <t xml:space="preserve">National Association for the Advancement of Colored People v. North Hudson Regional Fire &amp; Rescue, </t>
  </si>
  <si>
    <t>--- F.Supp.2d ----, 2010 WL 3810632, 110 Fair Empl.Prac.Cas. (BNA) 644, D.N.J., September 21, 2010 (NO. CIV. 07-1683 DRD)</t>
  </si>
  <si>
    <t>--- F.Supp.2d ----, 2010 WL 3743842, S.D.W.Va., September 20, 2010 (NO. 210CR00066)</t>
  </si>
  <si>
    <t xml:space="preserve">t </t>
  </si>
  <si>
    <t xml:space="preserve">Cornelius v. City of Columbia, S.C., </t>
  </si>
  <si>
    <t>Slip Copy, 2010 WL 4366187, D.S.C., September 16, 2010 (NO. CA 3:08-2508-CMC-PJG)</t>
  </si>
  <si>
    <t xml:space="preserve">Wagner v. Kona Blue Water Farms, LLC, </t>
  </si>
  <si>
    <t>Slip Copy, 2010 WL 3566730, 2010 A.M.C. 2455, D.Hawai'i, September 13, 2010 (NO. CIV.09-00600 JMS/BMK)</t>
  </si>
  <si>
    <t xml:space="preserve">U.S. ex rel. Lewis v. Walker, </t>
  </si>
  <si>
    <t>738 F.Supp.2d 1284, 2010 WL 3614144, M.D.Ga., September 08, 2010 (NO. 3:06-CV-16 CDL)</t>
  </si>
  <si>
    <t xml:space="preserve">Dracut School Committee v. Bureau of Special Educ. Appeals of the Massachusetts Dept. of Elementary and Secondary Educ., </t>
  </si>
  <si>
    <t>737 F.Supp.2d 35, 2010 WL 3504012, D.Mass., September 03, 2010 (NO. CIV.A. 09-10966-PBS)</t>
  </si>
  <si>
    <t xml:space="preserve">U.S. v. Baukman, </t>
  </si>
  <si>
    <t>Slip Copy, 2010 WL 3448202, E.D.Pa., August 31, 2010 (NO. CRIM. A. 05-440-8)</t>
  </si>
  <si>
    <t>d,m</t>
  </si>
  <si>
    <t xml:space="preserve">U.S. v. Richardson, </t>
  </si>
  <si>
    <t>Slip Copy, 2010 WL 3431704, E.D.Pa., August 30, 2010 (NO. CRIM. 05-440-18)</t>
  </si>
  <si>
    <t xml:space="preserve">In re Bank of America Corp. Securities, Derivatives, Employee Retirement Income Sec. Act (ERISA) Litigation, </t>
  </si>
  <si>
    <t>--- F.Supp.2d ----, 2010 WL 3448194, Fed. Sec. L. Rep. P 95,858, S.D.N.Y., August 27, 2010 (NO. 09 MD 2058 PKC)</t>
  </si>
  <si>
    <t xml:space="preserve">Castillo v. Cessna Aircraft Co., </t>
  </si>
  <si>
    <t>Slip Copy, 2010 WL 3385358, S.D.Fla., August 26, 2010 (NO. 08-21850-CIV)</t>
  </si>
  <si>
    <t xml:space="preserve">Beck Business Center, Inc. v. Michigan Heritage Bank, </t>
  </si>
  <si>
    <t>Slip Copy, 2010 WL 3258376, E.D.Mich., August 17, 2010 (NO. 10-CV-10914)</t>
  </si>
  <si>
    <t xml:space="preserve">Delalla v. Hanover Ins., </t>
  </si>
  <si>
    <t>Not Reported in F.Supp.2d, 2010 WL 3259816, E.D.Pa., August 17, 2010 (NO. CIV.A. 10-858)</t>
  </si>
  <si>
    <t xml:space="preserve">Heath v. McNeil, </t>
  </si>
  <si>
    <t>Slip Copy, 2010 WL 3239094, N.D.Fla., August 16, 2010 (NO. 1:09CV148/MCR)</t>
  </si>
  <si>
    <t xml:space="preserve">Compressor Engineering Corp. v. Manufacturers Financial Corp., </t>
  </si>
  <si>
    <t>Slip Copy, 2010 WL 3170074, E.D.Mich., August 11, 2010 (NO. 09-14444)</t>
  </si>
  <si>
    <t xml:space="preserve">U.S. v. McCray, </t>
  </si>
  <si>
    <t>Slip Copy, 2010 WL 3171210, S.D.Cal., August 11, 2010 (NO. 09CV0614 MMA, 00CR2580 MMA)</t>
  </si>
  <si>
    <t xml:space="preserve">U.S. v. Chaidez, </t>
  </si>
  <si>
    <t>730 F.Supp.2d 896, 2010 WL 3184150, N.D.Ill., August 11, 2010 (NO. 03 CR 636-6)</t>
  </si>
  <si>
    <t>Slip Copy, 2010 WL 3167519, M.D.Pa., August 10, 2010 (NO. 1:02-CR-083)</t>
  </si>
  <si>
    <t xml:space="preserve">Fulks v. U.S., </t>
  </si>
  <si>
    <t>Slip Copy, 2010 WL 3069390, D.S.C., August 03, 2010 (NO. C/A 4:08-70072-JFA, CR. 4:02-992-JFA)</t>
  </si>
  <si>
    <t xml:space="preserve">James v. Lafler, </t>
  </si>
  <si>
    <t>Slip Copy, 2010 WL 3702629, E.D.Mich., August 03, 2010 (NO. 209-CV-10929)</t>
  </si>
  <si>
    <t xml:space="preserve">Patridge v. U.S., </t>
  </si>
  <si>
    <t>Not Reported in F.Supp.2d, 2010 WL 3025043, C.D.Ill., July 30, 2010 (NO. 09-CV-2149)</t>
  </si>
  <si>
    <t xml:space="preserve">Vijan v. Schriro, </t>
  </si>
  <si>
    <t>Slip Copy, 2010 WL 5147994, D.Ariz., July 30, 2010 (NO. CV-09-0121-PHX-DGC)</t>
  </si>
  <si>
    <t xml:space="preserve">U.S. v. Arizona, </t>
  </si>
  <si>
    <t>703 F.Supp.2d 980, 2010 WL 2926157, 30 IER Cases 1633, D.Ariz., July 28, 2010 (NO. CV 10-1413-PHX-SRB)</t>
  </si>
  <si>
    <t xml:space="preserve">American Copper &amp; Brass, Inc. v. Lake City Industrial Products, Inc., </t>
  </si>
  <si>
    <t>Slip Copy, 2010 WL 2998472, W.D.Mich., July 28, 2010 (NO. 1:09-CV-1162)</t>
  </si>
  <si>
    <t xml:space="preserve">Hanks v. Shinseki, </t>
  </si>
  <si>
    <t>Slip Copy, 2010 WL 3000835, N.D.Tex., July 28, 2010 (NO. 3:08-1594-G)</t>
  </si>
  <si>
    <t xml:space="preserve">Compressor Engineering Corp. v. Chicken Shack, Inc., </t>
  </si>
  <si>
    <t>Slip Copy, 2010 WL 2836895, E.D.Mich., July 19, 2010 (NO. 10-CV-10059)</t>
  </si>
  <si>
    <t xml:space="preserve">Roberts v. Miller, </t>
  </si>
  <si>
    <t>Slip Copy, 2010 WL 3212730, W.D.Okla., July 19, 2010 (NO. CIV-09-717-R)</t>
  </si>
  <si>
    <t>m,d</t>
  </si>
  <si>
    <t xml:space="preserve">In re Fontainebleau Las Vegas Holdings, LLC, </t>
  </si>
  <si>
    <t>434 B.R. 716, 2010 WL 2774828, S.D.Fla., July 14, 2010 (NO. 09-23683-CIV)</t>
  </si>
  <si>
    <t xml:space="preserve">Imhoff Investment, L.L.C. v. Alfoccino of Auburn Hills, </t>
  </si>
  <si>
    <t>Slip Copy, 2010 WL 2772495, E.D.Mich., July 13, 2010 (NO. 10-CV-10221)</t>
  </si>
  <si>
    <t xml:space="preserve">Harbison v. Little, </t>
  </si>
  <si>
    <t>723 F.Supp.2d 1032, 2010 WL 2736077, 77 Fed.R.Serv.3d 298, M.D.Tenn., July 12, 2010 (NO. 3:06-CV-01206)</t>
  </si>
  <si>
    <t xml:space="preserve">Byers v. Ryan, </t>
  </si>
  <si>
    <t>Slip Copy, 2010 WL 2740156, D.Ariz., July 12, 2010 (NO. CV-09-0823)</t>
  </si>
  <si>
    <t>Slip Copy, 2010 WL 3239102, N.D.Fla., July 09, 2010 (NO. 1:09CV148-MCR /WCS)</t>
  </si>
  <si>
    <t xml:space="preserve">Massachusetts v. U.S. Dept. of Health and Human Services, </t>
  </si>
  <si>
    <t>698 F.Supp.2d 234, 2010 WL 2695668, Med &amp; Med GD (CCH) P 303,487, D.Mass., July 08, 2010 (NO. CIV. A. 1:09-11156)</t>
  </si>
  <si>
    <t xml:space="preserve">Dorr v. Weber, </t>
  </si>
  <si>
    <t>--- F.Supp.2d ----, 2010 WL 2710468, N.D.Iowa, July 07, 2010 (NO. C 08-4093-MWB)</t>
  </si>
  <si>
    <t xml:space="preserve">Brewington v. Klopotoski, </t>
  </si>
  <si>
    <t>Slip Copy, 2010 WL 2697477, E.D.Pa., July 06, 2010 (NO. CIV.A. 09-3133)</t>
  </si>
  <si>
    <t xml:space="preserve">Kalman v. Cortes, </t>
  </si>
  <si>
    <t>723 F.Supp.2d 766, 2010 WL 2649869, 39 Media L. Rep. 1039, E.D.Pa., June 30, 2010 (NO. CIV.A. 09-684)</t>
  </si>
  <si>
    <t xml:space="preserve">Jones v. U.S., </t>
  </si>
  <si>
    <t>Slip Copy, 2010 WL 2612310, E.D.N.C., June 25, 2010 (NO. 5:04-CR-324-D, 5:08-CV-582-D)</t>
  </si>
  <si>
    <t xml:space="preserve">Lewis v. Wilson, </t>
  </si>
  <si>
    <t>--- F.Supp.2d ----, 2010 WL 2605039, E.D.Pa., June 22, 2010 (NO. CA 05-4864)</t>
  </si>
  <si>
    <t xml:space="preserve">Albani v. U.S., </t>
  </si>
  <si>
    <t>Slip Copy, 2010 WL 2364426, E.D.Pa., June 09, 2010 (NO. CIV.A. 09-4790)</t>
  </si>
  <si>
    <t xml:space="preserve">Wisenbaker v. Farwell, </t>
  </si>
  <si>
    <t>Slip Copy, 2010 WL 3385303, D.Nev., June 07, 2010 (NO. 3:03-CV-00500-LRH)</t>
  </si>
  <si>
    <t xml:space="preserve">Cone v. Bell, </t>
  </si>
  <si>
    <t>Slip Copy, 2010 WL 2270191, W.D.Tenn., June 03, 2010 (NO. 2:97-CV-02312-JPM)</t>
  </si>
  <si>
    <t xml:space="preserve">U.S. v. Dwumaah, </t>
  </si>
  <si>
    <t>Slip Copy, 2010 WL 2294051, M.D.Pa., June 02, 2010 (NO. CRIM. 1:05-CR-0157)</t>
  </si>
  <si>
    <t xml:space="preserve">Giron v. Garcia, </t>
  </si>
  <si>
    <t>Slip Copy, 2010 WL 3001858, D.Nev., June 02, 2010 (NO. 3:09-CV-00126-HDM)</t>
  </si>
  <si>
    <t xml:space="preserve">Mathison v. Humphrey, </t>
  </si>
  <si>
    <t>Slip Copy, 2010 WL 2554030, D.Nev., May 25, 2010 (NO. 309CV00277ECRRAM)</t>
  </si>
  <si>
    <t xml:space="preserve">Davitt v. Centric, </t>
  </si>
  <si>
    <t>Slip Copy, 2010 WL 2926140, D.Nev., May 25, 2010 (NO. 3:06-CV-00502-HDM)</t>
  </si>
  <si>
    <t xml:space="preserve">Scheer v. Motorola, Inc., </t>
  </si>
  <si>
    <t>Slip Copy, 2010 WL 1878265, 109 Fair Empl.Prac.Cas. (BNA) 722, E.D.Pa., May 10, 2010 (NO. CIV.A.09-209)</t>
  </si>
  <si>
    <t xml:space="preserve">Ware v. C.D. Peacock, Inc., </t>
  </si>
  <si>
    <t>Slip Copy, 2010 WL 1856021, N.D.Ill., May 07, 2010 (NO. 10C2587)</t>
  </si>
  <si>
    <t xml:space="preserve">J.C. ex rel. R.C. v. Beverly Hills Unified School Dist., </t>
  </si>
  <si>
    <t>711 F.Supp.2d 1094, 2010 WL 1914215, 260 Ed. Law Rep. 212, C.D.Cal., May 06, 2010 (NO. CV 08-03824 SVW(CWX))</t>
  </si>
  <si>
    <t xml:space="preserve">Bridging Communities, Inc. v. Top Flite Financial, Inc., </t>
  </si>
  <si>
    <t>Slip Copy, 2010 WL 1790357, E.D.Mich., May 03, 2010 (NO. 09-14971)</t>
  </si>
  <si>
    <t>712 F.Supp.2d 1306, 2010 WL 1687750, Prod.Liab.Rep. (CCH) P 18,421, S.D.Fla., April 26, 2010 (NO. 08-21850-CIV)</t>
  </si>
  <si>
    <t xml:space="preserve">N.A.A.C.P. v. North Hudson Regional Fire &amp; Rescue, </t>
  </si>
  <si>
    <t>707 F.Supp.2d 520, 2010 WL 1641016, 109 Fair Empl.Prac.Cas. (BNA) 262, D.N.J., April 23, 2010 (NO. CIV. 07-1683 (DRD))</t>
  </si>
  <si>
    <t xml:space="preserve">Eber-Schmid v. Cuomo, </t>
  </si>
  <si>
    <t>Slip Copy, 2010 WL 1640905, S.D.N.Y., April 22, 2010 (NO. 09 CIV 8036 BSJAJP, 09 CIV 8038 BSJAJP)</t>
  </si>
  <si>
    <t xml:space="preserve">U.S. v. Bergrin, </t>
  </si>
  <si>
    <t>707 F.Supp.2d 503, 2010 WL 1574196, D.N.J., April 21, 2010 (NO. CRIM. 09-369)</t>
  </si>
  <si>
    <t xml:space="preserve">Knott v. AMFEC, Inc., </t>
  </si>
  <si>
    <t>Not Reported in F.Supp.2d, 2010 WL 1528393, D.Minn., April 15, 2010 (NO. 09-CV-1098(PJS/AJB))</t>
  </si>
  <si>
    <t xml:space="preserve">U.S. v. Parson, </t>
  </si>
  <si>
    <t>Slip Copy, 2010 WL 1417850, E.D.Va., April 06, 2010 (NO. 3:09-CR-377)</t>
  </si>
  <si>
    <t xml:space="preserve">U.S. v. West, </t>
  </si>
  <si>
    <t>Not Reported in F.Supp.2d, 2010 WL 1372531, N.D.Ill., April 05, 2010 (NO. 08 CR 669)</t>
  </si>
  <si>
    <t xml:space="preserve">Parts Geek, LLC v. U.S. Auto Parts Network, Inc., </t>
  </si>
  <si>
    <t>Slip Copy, 2010 WL 1381005, D.N.J., April 01, 2010 (NO. CIVA 09-5578 (MLC))</t>
  </si>
  <si>
    <t xml:space="preserve">Charvat v. NMP, LLC, </t>
  </si>
  <si>
    <t>703 F.Supp.2d 735, 2010 WL 1257590, S.D.Ohio, March 31, 2010 (NO. 2:09-CV-209)</t>
  </si>
  <si>
    <t xml:space="preserve">Marquis Yachts v. Allied Marine Group, Inc. (North), </t>
  </si>
  <si>
    <t>Not Reported in F.Supp.2d, 2010 WL 1380137, D.Minn., March 31, 2010 (NO. CIV 09-1770 JRT/FLN)</t>
  </si>
  <si>
    <t xml:space="preserve">S.G. ex rel. S.B.J. v. Care Academy, Inc., </t>
  </si>
  <si>
    <t>Slip Copy, 2010 WL 1416717, W.D.Ky., March 31, 2010 (NO. CIV.A. 309CV422-S)</t>
  </si>
  <si>
    <t xml:space="preserve">Young v. St. Luke's Hosp., </t>
  </si>
  <si>
    <t>Slip Copy, 2010 WL 1348468, E.D.Pa., March 30, 2010 (NO. 09-CV-03460)</t>
  </si>
  <si>
    <t xml:space="preserve">National Junior Baseball League v. Pharmanet Development Group Inc., </t>
  </si>
  <si>
    <t>720 F.Supp.2d 517, 2010 WL 1379735, Fed. Sec. L. Rep. P 95,661, D.N.J., March 30, 2010 (NO. CIV.A.08-5723FLW)</t>
  </si>
  <si>
    <t xml:space="preserve">Haines v. State Auto Prop. and Cas. Ins. Co., </t>
  </si>
  <si>
    <t>Not Reported in F.Supp.2d, 2010 WL 1257982, E.D.Pa., March 25, 2010 (NO. 08-CV-5715)</t>
  </si>
  <si>
    <t xml:space="preserve">Munoz v. U.S., </t>
  </si>
  <si>
    <t>Slip Copy, 2010 WL 1141112, D.N.J., March 24, 2010 (NO. CIV.A. 08-6099(JAG))</t>
  </si>
  <si>
    <t xml:space="preserve">American Civil Liberties Union of Massachusetts v. Sebelius, </t>
  </si>
  <si>
    <t>697 F.Supp.2d 200, 2010 WL 1037970, D.Mass., March 22, 2010 (NO. CIV.A. 09-10038-RGS)</t>
  </si>
  <si>
    <t>plurality opinion</t>
  </si>
  <si>
    <t xml:space="preserve">Banks v. Gallagher, </t>
  </si>
  <si>
    <t>Slip Copy, 2010 WL 1903597, M.D.Pa., March 18, 2010 (NO. CIV.A. 3:08-1110)</t>
  </si>
  <si>
    <t xml:space="preserve">Plumbers &amp; Steamfitters Local 773 Pension Fund v. Canadian Imperial Bank of Commerce, </t>
  </si>
  <si>
    <t>694 F.Supp.2d 287, 2010 WL 961596, S.D.N.Y., March 17, 2010 (NO. 08 CIV. 8143 (WHP))</t>
  </si>
  <si>
    <t xml:space="preserve">Sanders v. Downs, </t>
  </si>
  <si>
    <t>Not Reported in F.Supp.2d, 2010 WL 817475, M.D.Pa., March 09, 2010 (NO. CIVA 3:08-CV-1560)</t>
  </si>
  <si>
    <t xml:space="preserve">Allison v. Aetna, Inc., </t>
  </si>
  <si>
    <t>Slip Copy, 2010 WL 3719243, E.D.Pa., March 09, 2010 (NO. CIV.A. 09-2560)</t>
  </si>
  <si>
    <t xml:space="preserve">Simmons v. Stokes, </t>
  </si>
  <si>
    <t>Slip Copy, 2010 WL 2165355, D.S.C., March 05, 2010 (NO. CA209-2406-DCN-RSC)</t>
  </si>
  <si>
    <t xml:space="preserve">Machesney v. Lar-Bev of Howell, </t>
  </si>
  <si>
    <t>Slip Copy, 2010 WL 821932, E.D.Mich., March 04, 2010 (NO. CIV. 10-10085)</t>
  </si>
  <si>
    <t xml:space="preserve">APB Associates, Inc. v. Bronco's Saloon, Inc., </t>
  </si>
  <si>
    <t>Slip Copy, 2010 WL 822195, E.D.Mich., March 04, 2010 (NO. CIV. 0914959)</t>
  </si>
  <si>
    <t xml:space="preserve">Empire Financial Group, Inc. v. Penson Financial Services, Inc., </t>
  </si>
  <si>
    <t>Not Reported in F.Supp.2d, 2010 WL 742579, N.D.Tex., March 03, 2010 (NO. CIV.A. 3:09-CV-2155D)</t>
  </si>
  <si>
    <t xml:space="preserve">Rogers v. Bradshaw, </t>
  </si>
  <si>
    <t>Not Reported in F.Supp.2d, 2010 WL 1303463, D.S.C., March 03, 2010 (NO. CA 209CV01381HFFRSC)</t>
  </si>
  <si>
    <t xml:space="preserve">U.S. v. Boender, </t>
  </si>
  <si>
    <t>691 F.Supp.2d 833, 2010 WL 725318, N.D.Ill., February 24, 2010 (NO. 09 CR 186-1)</t>
  </si>
  <si>
    <t xml:space="preserve">U.S. v. Renzi, </t>
  </si>
  <si>
    <t>686 F.Supp.2d 956, 2010 WL 582105, D.Ariz., February 18, 2010 (NO. CR08-212 TUC DCB BPV)</t>
  </si>
  <si>
    <t xml:space="preserve">Pedemonte v. Holder, </t>
  </si>
  <si>
    <t>Slip Copy, 2010 WL 551085, D.N.J., February 16, 2010 (NO. 09-1558FLW)</t>
  </si>
  <si>
    <t xml:space="preserve">Mhanna v. U.S. Department of Homeland Security Citizenship and Immigration Services, </t>
  </si>
  <si>
    <t>Slip Copy, 2010 WL 584034, D.Minn., February 16, 2010 (NO. CIV. 10-292 (JRT/RLE)</t>
  </si>
  <si>
    <t xml:space="preserve">Rivas v. Mendoza, </t>
  </si>
  <si>
    <t>Not Reported in F.Supp.2d, 2010 WL 457149, N.D.Ind., February 04, 2010 (NO. 4:08-CV-80)</t>
  </si>
  <si>
    <t xml:space="preserve">Aviles v. Archuletta, </t>
  </si>
  <si>
    <t>Not Reported in F.Supp.2d, 2010 WL 383140, D.Colo., January 29, 2010 (NO. 06-CV-01329CMABNB)</t>
  </si>
  <si>
    <t xml:space="preserve">Pierce v. Directors of Corrections, </t>
  </si>
  <si>
    <t>Not Reported in F.Supp.2d, 2010 WL 322233, D.Nev., January 26, 2010 (NO. 3:07-CV-202-RCJ(RAM))</t>
  </si>
  <si>
    <t xml:space="preserve">S.E.C. v. Conaway, </t>
  </si>
  <si>
    <t>698 F.Supp.2d 771, 2010 WL 318283, Fed. Sec. L. Rep. P 95,580, E.D.Mich., January 20, 2010 (NO. 2:05-CV-40263)</t>
  </si>
  <si>
    <t xml:space="preserve">Glenz v. RCI, LLC, </t>
  </si>
  <si>
    <t>Not Reported in F.Supp.2d, 2010 WL 323327, D.N.J., January 20, 2010 (NO. CIVA 09-CV-378 (PGS))</t>
  </si>
  <si>
    <t xml:space="preserve">Ocasio v. Saunders, </t>
  </si>
  <si>
    <t>Not Reported in F.Supp.2d, 2010 WL 428891, D.Nev., January 08, 2010 (NO. 309-CV-400-ECRRAM)</t>
  </si>
  <si>
    <t xml:space="preserve">Zimmerman v. Davis, </t>
  </si>
  <si>
    <t>683 F.Supp.2d 523, 2010 WL 104452, E.D.Mich., January 07, 2010 (NO. 03-60173)</t>
  </si>
  <si>
    <t>Slip Copy, 2010 WL 55930, E.D.Ky., January 04, 2010 (NO. CIVA 6:09-7082-DCR, CRIMA 6:04-70-DCR)</t>
  </si>
  <si>
    <t xml:space="preserve">U.S. v. Page, </t>
  </si>
  <si>
    <t>679 F.Supp.2d 648, 2009 WL 5166254, E.D.Va., December 29, 2009 (NO. CRIM.3:09CR138HEH)</t>
  </si>
  <si>
    <t xml:space="preserve">Jones v. Pramstaller, </t>
  </si>
  <si>
    <t>678 F.Supp.2d 609, 2009 WL 5196149, W.D.Mich., December 22, 2009 (NO. 1:09-CV-392)</t>
  </si>
  <si>
    <t xml:space="preserve">King v. U.S., </t>
  </si>
  <si>
    <t>Slip Copy, 2009 WL 4884362, S.D.W.Va., December 10, 2009 (NO. CIVA 6:08-CV-01260, CRIM 6:04-CR-0012701)</t>
  </si>
  <si>
    <t>Slip Copy, 2009 WL 4842393, S.D.Ohio, December 07, 2009 (NO. 2:04-CV-1156)</t>
  </si>
  <si>
    <t xml:space="preserve">Mayo Clinic Jacksonville v. Alzheimer's Institute of America, Inc., </t>
  </si>
  <si>
    <t>683 F.Supp.2d 1292, 2009 WL 4349305, 22 Fla. L. Weekly Fed. D 228, M.D.Fla., November 24, 2009 (NO. 805-CV-00639-T-23TBM)</t>
  </si>
  <si>
    <t xml:space="preserve">Medina v. United Christian Evangelistic Ass'n, </t>
  </si>
  <si>
    <t>Not Reported in F.Supp.2d, 2009 WL 4030454, 107 Fair Empl.Prac.Cas. (BNA) 1534, S.D.Fla., November 20, 2009 (NO. 08-22111-CIV)</t>
  </si>
  <si>
    <t xml:space="preserve">Oshinsky v. New York Football Giants, Inc., </t>
  </si>
  <si>
    <t>Not Reported in F.Supp.2d, 2009 WL 4120237, D.N.J., November 17, 2009 (NO. CIV.A.09-CV1186(PGS))</t>
  </si>
  <si>
    <t xml:space="preserve">Creighton Saint Joseph Regional Healthcare, LLC v. Simmonds Restaurant Management, Inc., </t>
  </si>
  <si>
    <t>Not Reported in F.Supp.2d, 2009 WL 5103108, D.Neb., October 28, 2009 (NO. 8:09CV114)</t>
  </si>
  <si>
    <t xml:space="preserve">U.S. v. Charles, </t>
  </si>
  <si>
    <t>667 F.Supp.2d 1246, 2009 WL 3473700, D.Kan., October 27, 2009 (NO. 07-40140-01-SAC)</t>
  </si>
  <si>
    <t xml:space="preserve">U.S. v. Barnett, </t>
  </si>
  <si>
    <t>Not Reported in F.Supp.2d, 2009 WL 3517568, E.D.Wash., October 27, 2009 (NO. CR-09-091-LRS)</t>
  </si>
  <si>
    <t xml:space="preserve">McDowell v. Shinseki, </t>
  </si>
  <si>
    <t>23 Vet.App. 207, 2009 WL 3262766, Vet.App., October 13, 2009 (NO. 07-1419)</t>
  </si>
  <si>
    <t xml:space="preserve">U.S. v. Green, </t>
  </si>
  <si>
    <t>Slip Copy, 2009 WL 3233429, W.D.Pa., October 07, 2009 (NO. CRIM.A 3:08-26)</t>
  </si>
  <si>
    <t xml:space="preserve">Grisham v. Philip Morris, Inc., </t>
  </si>
  <si>
    <t>670 F.Supp.2d 1014, 2009 WL 4019366, 70 UCC Rep.Serv.2d 489, C.D.Cal., October 07, 2009 (NO. CV 02-7930SVWRCX)</t>
  </si>
  <si>
    <t xml:space="preserve">Casciani v. Nesbitt, </t>
  </si>
  <si>
    <t>659 F.Supp.2d 427, 2009 WL 3172684, W.D.N.Y., October 06, 2009 (NO. 08-CV-6162L)</t>
  </si>
  <si>
    <t xml:space="preserve">Daily Journal, </t>
  </si>
  <si>
    <t>69 M.J. 262, 2010 WL 5684278, U.S. Armed Forces, September 08, 2010 (NO. 11-004)</t>
  </si>
  <si>
    <t xml:space="preserve">Calloway v. C.I.R., </t>
  </si>
  <si>
    <t>135 T.C. No. 3, 2010 WL 2697300, Tax Ct. Rep. (CCH) 58,264, Tax Ct. Rep. Dec. (RIA) 135.3, U.S.Tax Ct., July 08, 2010 (NO. 8438-07)</t>
  </si>
  <si>
    <t xml:space="preserve">Collazo v. Bristol-Myers Squibb Mfg., Inc., </t>
  </si>
  <si>
    <t>617 F.3d 39, 2010 WL 3037811, 109 Fair Empl.Prac.Cas. (BNA) 1601, 93 Empl. Prac. Dec. P 43,956, C.A.1 (Puerto Rico), August 05, 2010 (NO. 09-1665)</t>
  </si>
  <si>
    <t>Unanimous Majority Op.</t>
  </si>
  <si>
    <t>Op. Joined</t>
  </si>
  <si>
    <t>Unpub. Per Curiam</t>
  </si>
  <si>
    <t>Cited</t>
  </si>
  <si>
    <t>Decision Date</t>
  </si>
  <si>
    <t>Decision Type (1=opinion of the court (orally argued); 2=per curiam (no oral argument); 4=decrees; 5=equally divided vote; 6=per curiam (orally argued); 7=judgment of the Court (orally argued)</t>
  </si>
  <si>
    <t>usCite</t>
  </si>
  <si>
    <t>sctCite</t>
  </si>
  <si>
    <t>ledCite</t>
  </si>
  <si>
    <t>lexisCite</t>
  </si>
  <si>
    <t>Term</t>
  </si>
  <si>
    <t>Natural Court</t>
  </si>
  <si>
    <t>chief</t>
  </si>
  <si>
    <t>Docket No.</t>
  </si>
  <si>
    <t>Case Name</t>
  </si>
  <si>
    <t>dateArgument</t>
  </si>
  <si>
    <t>Maj Votes</t>
  </si>
  <si>
    <t>Min Votes</t>
  </si>
  <si>
    <t>justice</t>
  </si>
  <si>
    <t>Justice Name</t>
  </si>
  <si>
    <t>Vote(1=voted with majority or plurality;2=dissent;3=regularconcurrence;4=special concurrence; 5=judgment of the Court; 6=dissent from a denial or dismissal of cert;7=jurisdictional dissent</t>
  </si>
  <si>
    <t>Opinion(1=justice wrote no opinion;2=justice wrote an opinion;3=justice co-authored an opinion)</t>
  </si>
  <si>
    <t>Majority(1=dissent;2=majority)</t>
  </si>
  <si>
    <t>MIP Check</t>
    <phoneticPr fontId="0" type="noConversion"/>
  </si>
  <si>
    <t>Unamious Check (only counts if no other opinions)</t>
    <phoneticPr fontId="0" type="noConversion"/>
  </si>
  <si>
    <t>130 S. Ct. 1251</t>
  </si>
  <si>
    <t>176 L. Ed. 2d 36</t>
  </si>
  <si>
    <t>2010 U.S. LEXIS 2203</t>
  </si>
  <si>
    <t>Roberts</t>
  </si>
  <si>
    <t>08-240</t>
  </si>
  <si>
    <t>MAC'S SHELL SERVICE, INC., et al. v. SHELL OIL PRODUCTS CO. LLC et al.</t>
  </si>
  <si>
    <t>SAAlito</t>
  </si>
  <si>
    <t>N</t>
  </si>
  <si>
    <t>Y</t>
  </si>
  <si>
    <t>130 S. Ct. 1418</t>
  </si>
  <si>
    <t>176 L. Ed. 2d 265</t>
  </si>
  <si>
    <t>2010 U.S. LEXIS 2926</t>
  </si>
  <si>
    <t>08-586</t>
  </si>
  <si>
    <t>JERRY N. JONES, et al. v. HARRIS ASSOCIATES L. P.</t>
  </si>
  <si>
    <t>130 S. Ct. 1758</t>
  </si>
  <si>
    <t>176 L. Ed. 2d 605</t>
  </si>
  <si>
    <t>2010 U.S. LEXIS 3672</t>
  </si>
  <si>
    <t>08-1198</t>
  </si>
  <si>
    <t>STOLT-NIELSEN S. A., et al. v. ANIMALFEEDS INTERNATIONAL CORP.</t>
  </si>
  <si>
    <t>130 S. Ct. 1662</t>
  </si>
  <si>
    <t>176 L. Ed. 2d 494</t>
  </si>
  <si>
    <t>2010 U.S. LEXIS 3481</t>
  </si>
  <si>
    <t>08-970</t>
  </si>
  <si>
    <t>SONNY PERDUE, GOVERNOR OF GEORGIA, et al. v. KENNY A., BY HIS NEXT FRIEND LINDA WINN, et al.</t>
  </si>
  <si>
    <t>130 S. Ct. 2464</t>
  </si>
  <si>
    <t>177 L. Ed. 2d 23</t>
  </si>
  <si>
    <t>2010 U.S. LEXIS 4568</t>
  </si>
  <si>
    <t>08-998</t>
  </si>
  <si>
    <t>JAN HAMILTON, CHAPTER 13 TRUSTEE v. STEPHANIE KAY LANNING</t>
  </si>
  <si>
    <t>130 S. Ct. 2743</t>
  </si>
  <si>
    <t>177 L. Ed. 2d 461</t>
  </si>
  <si>
    <t>2010 U.S. LEXIS 4980</t>
  </si>
  <si>
    <t>09-475</t>
  </si>
  <si>
    <t>MONSANTO COMPANY, et al. v. GEERTSON SEED FARMS et al.</t>
  </si>
  <si>
    <t>130 S. Ct. 3020</t>
  </si>
  <si>
    <t>177 L. Ed. 2d 894</t>
  </si>
  <si>
    <t>2010 U.S. LEXIS 5523</t>
  </si>
  <si>
    <t>08-1521</t>
  </si>
  <si>
    <t>OTIS MCDONALD, et al. v. CITY OF CHICAGO, ILLINOIS, et al.</t>
  </si>
  <si>
    <t>130 S. Ct. 727</t>
  </si>
  <si>
    <t>175 L. Ed. 2d 684</t>
  </si>
  <si>
    <t>2010 U.S. LEXIS 762</t>
  </si>
  <si>
    <t>09-5731</t>
  </si>
  <si>
    <t>MARCUS A. WELLONS v. HILTON HALL</t>
  </si>
  <si>
    <t>130 S. Ct. 1265</t>
  </si>
  <si>
    <t>176 L. Ed. 2d 1</t>
  </si>
  <si>
    <t>2010 U.S. LEXIS 2201</t>
  </si>
  <si>
    <t>08-6925</t>
  </si>
  <si>
    <t>CURTIS DARNELL JOHNSON v. UNITED STATES</t>
  </si>
  <si>
    <t>130 S. Ct. 1345</t>
  </si>
  <si>
    <t>176 L. Ed. 2d 54</t>
  </si>
  <si>
    <t>2010 U.S. LEXIS 2205</t>
  </si>
  <si>
    <t>08-728</t>
  </si>
  <si>
    <t>TAYLOR JAMES BLOATE v. UNITED STATES</t>
  </si>
  <si>
    <t>130 S. Ct. 1577</t>
  </si>
  <si>
    <t>176 L. Ed. 2d 435</t>
  </si>
  <si>
    <t>2010 U.S. LEXIS 3478</t>
  </si>
  <si>
    <t>08-769</t>
  </si>
  <si>
    <t>UNITED STATES v. ROBERT J. STEVENS</t>
  </si>
  <si>
    <t>130 S. Ct. 2229</t>
  </si>
  <si>
    <t>176 L. Ed. 2d 1152</t>
  </si>
  <si>
    <t>2010 U.S. LEXIS 4551</t>
  </si>
  <si>
    <t>08-1301</t>
  </si>
  <si>
    <t>THOMAS CARR v. UNITED STATES</t>
  </si>
  <si>
    <t>130 S. Ct. 2971</t>
  </si>
  <si>
    <t>177 L. Ed. 2d 838</t>
  </si>
  <si>
    <t>2010 U.S. LEXIS 5367</t>
  </si>
  <si>
    <t>08-1371</t>
  </si>
  <si>
    <t>CHRISTIAN LEGAL SOCIETY CHAPTER OF THE UNIVERSITY OF CALIFORNIA, HASTINGS COLLEGE OF THE LAW, AKA HASTINGS CHRISTIAN FELLOWSHIP v. LEO P. MARTINEZ et al.</t>
  </si>
  <si>
    <t>130 S. Ct. 13</t>
  </si>
  <si>
    <t>175 L. Ed. 2d 255</t>
  </si>
  <si>
    <t>2009 U.S. LEXIS 7976</t>
  </si>
  <si>
    <t>09-144</t>
  </si>
  <si>
    <t>DAVID BOBBY v. ROBERT J. VAN HOOK</t>
  </si>
  <si>
    <t>130 S. Ct. 1803</t>
  </si>
  <si>
    <t>176 L. Ed. 2d 634</t>
  </si>
  <si>
    <t>2010 U.S. LEXIS 3674</t>
  </si>
  <si>
    <t>08-472</t>
  </si>
  <si>
    <t>KEN L. SALAZAR, SECRETARY OF THE INTERIOR, et al. v. FRANK BUONO</t>
  </si>
  <si>
    <t>130 S. Ct. 2278</t>
  </si>
  <si>
    <t>176 L. Ed. 2d 1047</t>
  </si>
  <si>
    <t>2010 U.S. LEXIS 4378</t>
  </si>
  <si>
    <t>08-1555</t>
  </si>
  <si>
    <t>MOHAMED ALI SAMANTAR v. BASHE ABDI YOUSUF et al.</t>
  </si>
  <si>
    <t>130 S. Ct. 2811</t>
  </si>
  <si>
    <t>177 L. Ed. 2d 493</t>
  </si>
  <si>
    <t>2010 U.S. LEXIS 5256</t>
  </si>
  <si>
    <t>09-559</t>
  </si>
  <si>
    <t>JOHN DOE #1, et al. v. SAM REED, WASHINGTON SECRETARY OF STATE, et al.</t>
  </si>
  <si>
    <t>130 S. Ct. 827</t>
  </si>
  <si>
    <t>175 L. Ed. 2d 694</t>
  </si>
  <si>
    <t>2010 U.S. LEXIS 764</t>
  </si>
  <si>
    <t>08-911</t>
  </si>
  <si>
    <t>AGRON KUCANA v. ERIC H. HOLDER, JR., ATTORNEY GENERAL</t>
  </si>
  <si>
    <t>130 S. Ct. 1473</t>
  </si>
  <si>
    <t>176 L. Ed. 2d 284</t>
  </si>
  <si>
    <t>2010 U.S. LEXIS 2928</t>
  </si>
  <si>
    <t>08-651</t>
  </si>
  <si>
    <t>JOSE PADILLA v. KENTUCKY</t>
  </si>
  <si>
    <t>130 S. Ct. 1949</t>
  </si>
  <si>
    <t>176 L. Ed. 2d 878</t>
  </si>
  <si>
    <t>2010 U.S. LEXIS 3879</t>
  </si>
  <si>
    <t>08-1224</t>
  </si>
  <si>
    <t>UNITED STATES v. GRAYDON EARL COMSTOCK, JR., et al.</t>
  </si>
  <si>
    <t>130 S. Ct. 2323</t>
  </si>
  <si>
    <t>176 L. Ed. 2d 1131</t>
  </si>
  <si>
    <t>2010 U.S. LEXIS 4380</t>
  </si>
  <si>
    <t>09-223</t>
  </si>
  <si>
    <t>RICHARD A. LEVIN, TAX COMMISSIONER OF OHIO v. COMMERCE ENERGY, INC., et al.</t>
  </si>
  <si>
    <t>130 S. Ct. 2549</t>
  </si>
  <si>
    <t>177 L. Ed. 2d 130</t>
  </si>
  <si>
    <t>2010 U.S. LEXIS 4946</t>
  </si>
  <si>
    <t>09-5327</t>
  </si>
  <si>
    <t>ALBERT HOLLAND v. FLORIDA</t>
  </si>
  <si>
    <t>130 S. Ct. 2896</t>
  </si>
  <si>
    <t>177 L. Ed. 2d 619</t>
  </si>
  <si>
    <t>2010 U.S. LEXIS 5259</t>
  </si>
  <si>
    <t>08-1394</t>
  </si>
  <si>
    <t>JEFFREY K. SKILLING v. UNITED STATES</t>
  </si>
  <si>
    <t>130 S. Ct. 599</t>
  </si>
  <si>
    <t>175 L. Ed. 2d 458</t>
  </si>
  <si>
    <t>2009 U.S. LEXIS 8942</t>
  </si>
  <si>
    <t>08-678</t>
  </si>
  <si>
    <t>MOHAWK INDUSTRIES, INC. v. NORMAN CARPENTER</t>
  </si>
  <si>
    <t>130 S. Ct. 576</t>
  </si>
  <si>
    <t>175 L. Ed. 2d 447</t>
  </si>
  <si>
    <t>2009 U.S. LEXIS 8941</t>
  </si>
  <si>
    <t>08-351</t>
  </si>
  <si>
    <t>ANITA ALVAREZ, COOK COUNTY STATE'S ATTORNEY v. CHERMANE SMITH et al.</t>
  </si>
  <si>
    <t>130 S. Ct. 584</t>
  </si>
  <si>
    <t>175 L. Ed. 2d 428</t>
  </si>
  <si>
    <t>2009 U.S. LEXIS 8943</t>
  </si>
  <si>
    <t>08-604</t>
  </si>
  <si>
    <t>UNION PACIFIC RAILROAD COMPANY v. BROTHERHOOD OF LOCOMOTIVE ENGINEERS AND TRAINMEN GENERAL COMMITTEE OF ADJUSTMENT, CENTRAL REGION</t>
  </si>
  <si>
    <t>130 S. Ct. 983</t>
  </si>
  <si>
    <t>175 L. Ed. 2d 943</t>
  </si>
  <si>
    <t>2010 U.S. LEXIS 768</t>
  </si>
  <si>
    <t>08-969</t>
  </si>
  <si>
    <t>HEMI GROUP, LLC AND KAI GACHUPIN v. CITY OF NEW YORK, NEW YORK</t>
  </si>
  <si>
    <t>130 S. Ct. 876</t>
  </si>
  <si>
    <t>175 L. Ed. 2d 753</t>
  </si>
  <si>
    <t>2010 U.S. LEXIS 766</t>
  </si>
  <si>
    <t>08-205</t>
  </si>
  <si>
    <t>CITIZENS UNITED v. FEDERAL ELECTION COMMISSION</t>
  </si>
  <si>
    <t>130 S. Ct. 841</t>
  </si>
  <si>
    <t>175 L. Ed. 2d 738</t>
  </si>
  <si>
    <t>2010 U.S. LEXIS 763</t>
  </si>
  <si>
    <t>08-9156</t>
  </si>
  <si>
    <t>HOLLY WOOD v. RICHARD F. ALLEN, ALABAMA DEPARTMENT OF CORRECTIONS, et al.</t>
  </si>
  <si>
    <t>130 S. Ct. 854</t>
  </si>
  <si>
    <t>175 L. Ed. 2d 713</t>
  </si>
  <si>
    <t>2010 U.S. LEXIS 765</t>
  </si>
  <si>
    <t>138, Orig.</t>
  </si>
  <si>
    <t>STATE OF SOUTH CAROLINA v. STATE OF NORTH CAROLINA</t>
  </si>
  <si>
    <t>130 S. Ct. 693</t>
  </si>
  <si>
    <t>175 L. Ed. 2d 642</t>
  </si>
  <si>
    <t>2010 U.S. LEXIS 532</t>
  </si>
  <si>
    <t>08-674</t>
  </si>
  <si>
    <t>NRG POWER MARKETING, LLC, et al. v. MAINE PUBLIC UTILITIES COMMISSION et al.</t>
  </si>
  <si>
    <t>130 S. Ct. 676</t>
  </si>
  <si>
    <t>175 L. Ed. 2d 595</t>
  </si>
  <si>
    <t>2010 U.S. LEXIS 530</t>
  </si>
  <si>
    <t>08-724</t>
  </si>
  <si>
    <t>KEITH SMITH, WARDEN v. FRANK G. SPISAK, JR.</t>
  </si>
  <si>
    <t>130 S. Ct. 1213</t>
  </si>
  <si>
    <t>175 L. Ed. 2d 1045</t>
  </si>
  <si>
    <t>2010 U.S. LEXIS 1899</t>
  </si>
  <si>
    <t>08-680</t>
  </si>
  <si>
    <t>MARYLAND v. MICHAEL BLAINE SHATZER, SR.</t>
  </si>
  <si>
    <t>130 S. Ct. 1181</t>
  </si>
  <si>
    <t>175 L. Ed. 2d 1029</t>
  </si>
  <si>
    <t>2010 U.S. LEXIS 1897</t>
  </si>
  <si>
    <t>08-1107</t>
  </si>
  <si>
    <t>THE HERTZ CORPORATION v. MELINDA FRIEND et al.</t>
  </si>
  <si>
    <t>130 S. Ct. 1195</t>
  </si>
  <si>
    <t>175 L. Ed. 2d 1009</t>
  </si>
  <si>
    <t>2010 U.S. LEXIS 1898</t>
  </si>
  <si>
    <t>08-1175</t>
  </si>
  <si>
    <t>FLORIDA v. KEVIN DEWAYNE POWELL</t>
  </si>
  <si>
    <t>130 S. Ct. 1237</t>
  </si>
  <si>
    <t>176 L. Ed. 2d 18</t>
  </si>
  <si>
    <t>2010 U.S. LEXIS 2202</t>
  </si>
  <si>
    <t>08-103</t>
  </si>
  <si>
    <t>REED ELSEVIER, INC., et al. v. IRVIN MUCHNICK et al.</t>
  </si>
  <si>
    <t>130 S. Ct. 1324</t>
  </si>
  <si>
    <t>176 L. Ed. 2d 79</t>
  </si>
  <si>
    <t>2010 U.S. LEXIS 2206</t>
  </si>
  <si>
    <t>08-1119</t>
  </si>
  <si>
    <t>MILAVETZ, GALLOP &amp; MILAVETZ, P. A., et al. v. UNITED STATES</t>
  </si>
  <si>
    <t>130 S. Ct. 1431</t>
  </si>
  <si>
    <t>176 L. Ed. 2d 311</t>
  </si>
  <si>
    <t>2010 U.S. LEXIS 2929</t>
  </si>
  <si>
    <t>08-1008</t>
  </si>
  <si>
    <t>SHADY GROVE ORTHOPEDIC ASSOCIATES, P. A. v. ALLSTATE INSURANCE COMPANY</t>
  </si>
  <si>
    <t>130 S. Ct. 1382</t>
  </si>
  <si>
    <t>176 L. Ed. 2d 249</t>
  </si>
  <si>
    <t>2010 U.S. LEXIS 2925</t>
  </si>
  <si>
    <t>08-1402</t>
  </si>
  <si>
    <t>MARY BERGHUIS, WARDEN v. DIAPOLIS SMITH</t>
  </si>
  <si>
    <t>130 S. Ct. 1396</t>
  </si>
  <si>
    <t>176 L. Ed. 2d 225</t>
  </si>
  <si>
    <t>2010 U.S. LEXIS 2927</t>
  </si>
  <si>
    <t>08-304</t>
  </si>
  <si>
    <t>GRAHAM COUNTY SOIL AND WATER CONSERVATION DISTRICT, et al. v. UNITED STATES ex rel. KAREN T. WILSON</t>
  </si>
  <si>
    <t>130 S. Ct. 1367</t>
  </si>
  <si>
    <t>176 L. Ed. 2d 158</t>
  </si>
  <si>
    <t>2010 U.S. LEXIS 2750</t>
  </si>
  <si>
    <t>08-1134</t>
  </si>
  <si>
    <t>UNITED STUDENT AID FUNDS, INC. v. FRANCISCO J. ESPINOSA</t>
  </si>
  <si>
    <t>130 S. Ct. 1845</t>
  </si>
  <si>
    <t>176 L. Ed. 2d 703</t>
  </si>
  <si>
    <t>2010 U.S. LEXIS 3676</t>
  </si>
  <si>
    <t>08-1529</t>
  </si>
  <si>
    <t>ESTHER HUI, et al. v. YANIRA CASTANEDA, AS PERSONAL REPRESENTATIVE OF THE ESTATE OF FRANCISCO CASTANEDA, et al.</t>
  </si>
  <si>
    <t>130 S. Ct. 1855</t>
  </si>
  <si>
    <t>176 L. Ed. 2d 678</t>
  </si>
  <si>
    <t>2010 U.S. LEXIS 3675</t>
  </si>
  <si>
    <t>09-338</t>
  </si>
  <si>
    <t>PAUL RENICO, WARDEN v. REGINALD LETT</t>
  </si>
  <si>
    <t>130 S. Ct. 1784</t>
  </si>
  <si>
    <t>176 L. Ed. 2d 582</t>
  </si>
  <si>
    <t>2010 U.S. LEXIS 3671</t>
  </si>
  <si>
    <t>08-905</t>
  </si>
  <si>
    <t>MERCK &amp; CO., INC., et al. v. RICHARD REYNOLDS et al.</t>
  </si>
  <si>
    <t>130 S. Ct. 1605</t>
  </si>
  <si>
    <t>176 L. Ed. 2d 519</t>
  </si>
  <si>
    <t>2010 U.S. LEXIS 3480</t>
  </si>
  <si>
    <t>08-1200</t>
  </si>
  <si>
    <t>KAREN L. JERMAN v. CARLISLE, MCNELLIE, RINI, KRAMER &amp; ULRICH LPA, et al.</t>
  </si>
  <si>
    <t>130 S. Ct. 1983</t>
  </si>
  <si>
    <t>176 L. Ed. 2d 789</t>
  </si>
  <si>
    <t>2010 U.S. LEXIS 3880</t>
  </si>
  <si>
    <t>08-645</t>
  </si>
  <si>
    <t>TIMOTHY MARK CAMERON ABBOTT v. JACQUELYN VAYE ABBOTT</t>
  </si>
  <si>
    <t>130 S. Ct. 2011</t>
  </si>
  <si>
    <t>176 L. Ed. 2d 825</t>
  </si>
  <si>
    <t>2010 U.S. LEXIS 3881</t>
  </si>
  <si>
    <t>08-7412</t>
  </si>
  <si>
    <t>TERRANCE JAMAR GRAHAM v. FLORIDA</t>
  </si>
  <si>
    <t>130 S. Ct. 2201</t>
  </si>
  <si>
    <t>176 L. Ed. 2d 947</t>
  </si>
  <si>
    <t>2010 U.S. LEXIS 4166</t>
  </si>
  <si>
    <t>08-661</t>
  </si>
  <si>
    <t>AMERICAN NEEDLE, INC. v. NATIONAL FOOTBALL LEAGUE et al.</t>
  </si>
  <si>
    <t>130 S. Ct. 2191</t>
  </si>
  <si>
    <t>176 L. Ed. 2d 967</t>
  </si>
  <si>
    <t>2010 U.S. LEXIS 4165</t>
  </si>
  <si>
    <t>08-974</t>
  </si>
  <si>
    <t>ARTHUR L. LEWIS, JR., et al. v. CITY OF CHICAGO, ILLINOIS</t>
  </si>
  <si>
    <t>130 S. Ct. 2169</t>
  </si>
  <si>
    <t>176 L. Ed. 2d 979</t>
  </si>
  <si>
    <t>2010 U.S. LEXIS 4167</t>
  </si>
  <si>
    <t>08-1569</t>
  </si>
  <si>
    <t>UNITED STATES v. MARTIN O'BRIEN AND ARTHUR BURGESS</t>
  </si>
  <si>
    <t>130 S. Ct. 2149</t>
  </si>
  <si>
    <t>176 L. Ed. 2d 998</t>
  </si>
  <si>
    <t>2010 U.S. LEXIS 4164</t>
  </si>
  <si>
    <t>09-448</t>
  </si>
  <si>
    <t>BRIDGET HARDT v. RELIANCE STANDARD LIFE INSURANCE COMPANY</t>
  </si>
  <si>
    <t>130 S. Ct. 2159</t>
  </si>
  <si>
    <t>176 L. Ed. 2d 1012</t>
  </si>
  <si>
    <t>2010 U.S. LEXIS 4163</t>
  </si>
  <si>
    <t>08-1341</t>
  </si>
  <si>
    <t>UNITED STATES v. GLENN MARCUS</t>
  </si>
  <si>
    <t>130 S. Ct. 2295</t>
  </si>
  <si>
    <t>176 L. Ed. 2d 1070</t>
  </si>
  <si>
    <t>2010 U.S. LEXIS 4381</t>
  </si>
  <si>
    <t>132, Orig.</t>
  </si>
  <si>
    <t>STATE OF ALABAMA, STATE OF FLORIDA, STATE OF TENNESSEE, COMMONWEALTH OF VIRGINIA, AND SOUTHEAST INTERSTATE LOW-LEVEL RADIOACTIVE WASTE MANAGEMENT COMMISSION v. STATE OF NORTH CAROLINA</t>
  </si>
  <si>
    <t>130 S. Ct. 2250</t>
  </si>
  <si>
    <t>176 L. Ed. 2d 1098</t>
  </si>
  <si>
    <t>2010 U.S. LEXIS 4379</t>
  </si>
  <si>
    <t>08-1470</t>
  </si>
  <si>
    <t>MARY BERGHUIS, WARDEN v. VAN CHESTER THOMPKINS</t>
  </si>
  <si>
    <t>130 S. Ct. 2499</t>
  </si>
  <si>
    <t>177 L. Ed. 2d 1</t>
  </si>
  <si>
    <t>2010 U.S. LEXIS 4717</t>
  </si>
  <si>
    <t>09-5201</t>
  </si>
  <si>
    <t>MICHAEL GARY BARBER, et al. v. J. E. THOMAS, WARDEN</t>
  </si>
  <si>
    <t>130 S. Ct. 2485</t>
  </si>
  <si>
    <t>177 L. Ed. 2d 48</t>
  </si>
  <si>
    <t>2010 U.S. LEXIS 4567</t>
  </si>
  <si>
    <t>09-337</t>
  </si>
  <si>
    <t>WANDA KRUPSKI v. COSTA CROCIERE S. P. A.</t>
  </si>
  <si>
    <t>130 S. Ct. 2577</t>
  </si>
  <si>
    <t>177 L. Ed. 2d 68</t>
  </si>
  <si>
    <t>2010 U.S. LEXIS 4764</t>
  </si>
  <si>
    <t>09-60</t>
  </si>
  <si>
    <t>JOSE ANGEL CARACHURI-ROSENDO v. ERIC H. HOLDER, JR., ATTORNEY GENERAL</t>
  </si>
  <si>
    <t>130 S. Ct. 2521</t>
  </si>
  <si>
    <t>177 L. Ed. 2d 91</t>
  </si>
  <si>
    <t>2010 U.S. LEXIS 4763</t>
  </si>
  <si>
    <t>08-1322</t>
  </si>
  <si>
    <t>MICHAEL J. ASTRUE, COMMISSIONER OF SOCIAL SECURITY v. CATHERINE G. RATLIFF</t>
  </si>
  <si>
    <t>130 S. Ct. 2533</t>
  </si>
  <si>
    <t>177 L. Ed. 2d 108</t>
  </si>
  <si>
    <t>2010 U.S. LEXIS 4762</t>
  </si>
  <si>
    <t>09-367</t>
  </si>
  <si>
    <t>BRIAN RUSSELL DOLAN v. UNITED STATES</t>
  </si>
  <si>
    <t>130 S. Ct. 2635</t>
  </si>
  <si>
    <t>177 L. Ed. 2d 162</t>
  </si>
  <si>
    <t>2010 U.S. LEXIS 4973</t>
  </si>
  <si>
    <t>08-1457</t>
  </si>
  <si>
    <t>NEW PROCESS STEEL, L. P. v. NATIONAL LABOR RELATIONS BOARD</t>
  </si>
  <si>
    <t>130 S. Ct. 2592</t>
  </si>
  <si>
    <t>177 L. Ed. 2d 184</t>
  </si>
  <si>
    <t>2010 U.S. LEXIS 4971</t>
  </si>
  <si>
    <t>08-1151</t>
  </si>
  <si>
    <t>STOP THE BEACH RENOURISHMENT, INC. v. FLORIDA DEPARTMENT OF ENVIRONMENTAL PROTECTION et al.</t>
  </si>
  <si>
    <t>130 S. Ct. 2619</t>
  </si>
  <si>
    <t>177 L. Ed. 2d 216</t>
  </si>
  <si>
    <t>2010 U.S. LEXIS 4972</t>
  </si>
  <si>
    <t>08-1332</t>
  </si>
  <si>
    <t>CITY OF ONTARIO, CALIFORNIA, et al. v. JEFF QUON et al.</t>
  </si>
  <si>
    <t>130 S. Ct. 2652</t>
  </si>
  <si>
    <t>177 L. Ed. 2d 234</t>
  </si>
  <si>
    <t>2010 U.S. LEXIS 4974</t>
  </si>
  <si>
    <t>08-538</t>
  </si>
  <si>
    <t>WILLIAM G. SCHWAB v. NADEJDA REILLY</t>
  </si>
  <si>
    <t>130 S. Ct. 2705</t>
  </si>
  <si>
    <t>177 L. Ed. 2d 355</t>
  </si>
  <si>
    <t>2010 U.S. LEXIS 5252</t>
  </si>
  <si>
    <t>08-1498</t>
  </si>
  <si>
    <t>ERIC H. HOLDER, JR., ATTORNEY GENERAL, et al. v. HUMANITARIAN LAW PROJECT et al.</t>
  </si>
  <si>
    <t>130 S. Ct. 2772</t>
  </si>
  <si>
    <t>177 L. Ed. 2d 403</t>
  </si>
  <si>
    <t>2010 U.S. LEXIS 4981</t>
  </si>
  <si>
    <t>09-497</t>
  </si>
  <si>
    <t>RENT-A-CENTER, WEST, INC. v. ANTONIO JACKSON</t>
  </si>
  <si>
    <t>130 S. Ct. 2433</t>
  </si>
  <si>
    <t>177 L. Ed. 2d 424</t>
  </si>
  <si>
    <t>2010 U.S. LEXIS 4982</t>
  </si>
  <si>
    <t>08-1553</t>
  </si>
  <si>
    <t>KAWASAKI KISEN KAISHA LTD. et al. v. REGAL-BELOIT CORP. et al.</t>
  </si>
  <si>
    <t>130 S. Ct. 2869</t>
  </si>
  <si>
    <t>177 L. Ed. 2d 535</t>
  </si>
  <si>
    <t>2010 U.S. LEXIS 5257</t>
  </si>
  <si>
    <t>08-1191</t>
  </si>
  <si>
    <t>ROBERT MORRISON, et al. v. NATIONAL AUSTRALIA BANK LTD. et al.</t>
  </si>
  <si>
    <t>130 S. Ct. 2847</t>
  </si>
  <si>
    <t>177 L. Ed. 2d 567</t>
  </si>
  <si>
    <t>2010 U.S. LEXIS 5255</t>
  </si>
  <si>
    <t>08-1214</t>
  </si>
  <si>
    <t>GRANITE ROCK COMPANY v. INTERNATIONAL BROTHERHOOD OF TEAMSTERS et al.</t>
  </si>
  <si>
    <t>130 S. Ct. 2788</t>
  </si>
  <si>
    <t>177 L. Ed. 2d 592</t>
  </si>
  <si>
    <t>2010 U.S. LEXIS 5258</t>
  </si>
  <si>
    <t>09-158</t>
  </si>
  <si>
    <t>BILLY JOE MAGWOOD v. TONY PATTERSON, WARDEN, et al.</t>
  </si>
  <si>
    <t>130 S. Ct. 2963</t>
  </si>
  <si>
    <t>177 L. Ed. 2d 695</t>
  </si>
  <si>
    <t>2010 U.S. LEXIS 5253</t>
  </si>
  <si>
    <t>08-876</t>
  </si>
  <si>
    <t>CONRAD M. BLACK, JOHN A. BOULTBEE, AND MARK S. KIPNIS v. UNITED STATES</t>
  </si>
  <si>
    <t>130 S. Ct. 3218</t>
  </si>
  <si>
    <t>177 L. Ed. 2d 792</t>
  </si>
  <si>
    <t>2010 U.S. LEXIS 5521</t>
  </si>
  <si>
    <t>08-964</t>
  </si>
  <si>
    <t>BERNARD L. BILSKI AND RAND A. WARSAW v. DAVID J. KAPPOS, UNDER SECRETARY OF COMMERCE FOR INTELLECTUAL PROPERTY AND DIRECTOR, PATENT AND TRADEMARK OFFICE</t>
  </si>
  <si>
    <t>130 S. Ct. 612</t>
  </si>
  <si>
    <t>175 L. Ed. 2d 417</t>
  </si>
  <si>
    <t>2009 U.S. LEXIS 8944</t>
  </si>
  <si>
    <t>08-992</t>
  </si>
  <si>
    <t>JEFFREY A. BEARD, SECRETARY, PENNSYLVANIA DEPARTMENT OF CORRECTIONS, et al. v. JOSEPH J. KINDLER</t>
  </si>
  <si>
    <t>130 S. Ct. 2683</t>
  </si>
  <si>
    <t>177 L. Ed. 2d 271</t>
  </si>
  <si>
    <t>2010 U.S. LEXIS 4975</t>
  </si>
  <si>
    <t>09-6338</t>
  </si>
  <si>
    <t>PERCY DILLON v. UNITED STATES</t>
  </si>
  <si>
    <t>130 S. Ct. 1640</t>
  </si>
  <si>
    <t>176 L. Ed. 2d 469</t>
  </si>
  <si>
    <t>2010 U.S. LEXIS 3479</t>
  </si>
  <si>
    <t>08-810</t>
  </si>
  <si>
    <t>SALLY L. CONKRIGHT, et al. v. PAUL J. FROMMERT et al.</t>
  </si>
  <si>
    <t>130 S. Ct. 3138</t>
  </si>
  <si>
    <t>177 L. Ed. 2d 706</t>
  </si>
  <si>
    <t>2010 U.S. LEXIS 5524</t>
  </si>
  <si>
    <t>08-861</t>
  </si>
  <si>
    <t>FREE ENTERPRISE FUND AND BECKSTEAD AND WATTS, LLP v. PUBLIC COMPANY ACCOUNTING OVERSIGHT BOARD et al.</t>
  </si>
  <si>
    <t>130 S. Ct. 546</t>
  </si>
  <si>
    <t>175 L. Ed. 2d 410</t>
  </si>
  <si>
    <t>2009 U.S. LEXIS 8773</t>
  </si>
  <si>
    <t>09-91</t>
  </si>
  <si>
    <t>MICHIGAN v. JEREMY FISHER</t>
  </si>
  <si>
    <t>130 S. Ct. 447</t>
  </si>
  <si>
    <t>175 L. Ed. 2d 398</t>
  </si>
  <si>
    <t>2009 U.S. LEXIS 8377</t>
  </si>
  <si>
    <t>08-10537</t>
  </si>
  <si>
    <t>GEORGE PORTER, JR. v. BILL MCCOLLUM, ATTORNEY GENERAL OF FLORIDA, et al.</t>
  </si>
  <si>
    <t>130 S. Ct. 383</t>
  </si>
  <si>
    <t>175 L. Ed. 2d 328</t>
  </si>
  <si>
    <t>2009 U.S. LEXIS 8117</t>
  </si>
  <si>
    <t>08-1263</t>
  </si>
  <si>
    <t>ROBERT WONG v. FERNANDO BELMONTES, JR.</t>
  </si>
  <si>
    <t>130 S. Ct. 8</t>
  </si>
  <si>
    <t>175 L. Ed. 2d 1</t>
  </si>
  <si>
    <t>2009 U.S. LEXIS 7479</t>
  </si>
  <si>
    <t>08-10495</t>
  </si>
  <si>
    <t>JOSEPH E. CORCORAN v. MARK LEVENHAGEN, SUPERINTENDENT, INDIANA STATE PRISON</t>
  </si>
  <si>
    <t>130 S. Ct. 721</t>
  </si>
  <si>
    <t>175 L. Ed. 2d 675</t>
  </si>
  <si>
    <t>2010 U.S. LEXIS 761</t>
  </si>
  <si>
    <t>09-5270</t>
  </si>
  <si>
    <t>ERIC PRESLEY v. GEORGIA</t>
  </si>
  <si>
    <t>130 S. Ct. 705</t>
  </si>
  <si>
    <t>175 L. Ed. 2d 657</t>
  </si>
  <si>
    <t>2010 U.S. LEXIS 533</t>
  </si>
  <si>
    <t>09A648</t>
  </si>
  <si>
    <t>DENNIS HOLLINGSWORTH et al. v. KRISTIN M. PERRY et al.</t>
  </si>
  <si>
    <t>130 S. Ct. 665</t>
  </si>
  <si>
    <t>175 L. Ed. 2d 582</t>
  </si>
  <si>
    <t>2010 U.S. LEXIS 3</t>
  </si>
  <si>
    <t>08-559</t>
  </si>
  <si>
    <t>E. K. MCDANIEL, WARDEN, et al. v. TROY BROWN</t>
  </si>
  <si>
    <t>130 S. Ct. 1171</t>
  </si>
  <si>
    <t>175 L. Ed. 2d 1003</t>
  </si>
  <si>
    <t>2010 U.S. LEXIS 1037</t>
  </si>
  <si>
    <t>09-273</t>
  </si>
  <si>
    <t>RICK THALER, DIRECTOR, TEXAS DEPARTMENT OF CRIMINAL JUSTICE, CORRECTIONAL INSTITUTIONS DIVISION v. ANTHONY CARDELL HAYNES</t>
  </si>
  <si>
    <t>130 S. Ct. 1175</t>
  </si>
  <si>
    <t>175 L. Ed. 2d 995</t>
  </si>
  <si>
    <t>2010 U.S. LEXIS 1036</t>
  </si>
  <si>
    <t>08-10914</t>
  </si>
  <si>
    <t>JAMEY L. WILKINS v. OFFICER GADDY</t>
  </si>
  <si>
    <t>130 S. Ct. 1235</t>
  </si>
  <si>
    <t>175 L. Ed. 2d 1070</t>
  </si>
  <si>
    <t>2010 U.S. LEXIS 1902</t>
  </si>
  <si>
    <t>08-1234</t>
  </si>
  <si>
    <t>JAMAL KIYEMBA et al. v. BARACK H. OBAMA, PRESIDENT OF THE UNITED STATES et al.</t>
  </si>
  <si>
    <t>130 S. Ct. 2059</t>
  </si>
  <si>
    <t>176 L. Ed. 2d 919</t>
  </si>
  <si>
    <t>2010 U.S. LEXIS 3878</t>
  </si>
  <si>
    <t>08-7621</t>
  </si>
  <si>
    <t>JOE HARRIS SULLIVAN v. FLORIDA</t>
  </si>
  <si>
    <t>130 S. Ct. 2217</t>
  </si>
  <si>
    <t>176 L. Ed. 2d 1032</t>
  </si>
  <si>
    <t>2010 U.S. LEXIS 4168</t>
  </si>
  <si>
    <t>09-8852</t>
  </si>
  <si>
    <t>LAWRENCE JOSEPH JEFFERSON v. STEPHEN UPTON, WARDEN</t>
  </si>
  <si>
    <t>130 S. Ct. 2518</t>
  </si>
  <si>
    <t>177 L. Ed. 2d 64</t>
  </si>
  <si>
    <t>2010 U.S. LEXIS 4565</t>
  </si>
  <si>
    <t>09-940</t>
  </si>
  <si>
    <t>UNITED STATES v. JUVENILE MALE</t>
  </si>
  <si>
    <t>130 S. Ct. 3259</t>
  </si>
  <si>
    <t>177 L. Ed. 2d 1025</t>
  </si>
  <si>
    <t>2010 U.S. LEXIS 5540</t>
  </si>
  <si>
    <t>09-8854</t>
  </si>
  <si>
    <t>DEMARCUS ALI SEARS v. STEPHEN UPTON</t>
  </si>
  <si>
    <t>130 S. Ct. 1316</t>
  </si>
  <si>
    <t>175 L. Ed. 2d 966</t>
  </si>
  <si>
    <t>2010 U.S. LEXIS 767</t>
  </si>
  <si>
    <t>07-11191</t>
  </si>
  <si>
    <t>MARK A. BRISCOE AND SHELDON A. CYPRESS v. VIRGINIA</t>
  </si>
  <si>
    <t>130 S. Ct. 2184</t>
  </si>
  <si>
    <t>176 L. Ed. 2d 1024</t>
  </si>
  <si>
    <t>2010 U.S. LEXIS 4169</t>
  </si>
  <si>
    <t>08-6261</t>
  </si>
  <si>
    <t>JOHN ROBERTSON v. UNITED STATES ex rel. WYKENNA WATSON</t>
  </si>
  <si>
    <t>130 S. Ct. 1047</t>
  </si>
  <si>
    <t>175 L. Ed. 2d 641</t>
  </si>
  <si>
    <t>2010 U.S. LEXIS 1</t>
  </si>
  <si>
    <t>08-1065</t>
  </si>
  <si>
    <t>POTTAWATTAMIE COUNTY, IOWA, et al., PETITIONERS v. CURTIS W. MCGHEE, JR., et al.</t>
  </si>
  <si>
    <t>Within same case?</t>
  </si>
  <si>
    <t xml:space="preserve">Lewis v. Mazurkiewicz, </t>
  </si>
  <si>
    <t>915 F.2d 106, 1990 WL 136603, C.A.3 (Pa.), September 24, 1990 (NO. 90-1015)</t>
  </si>
  <si>
    <t>M</t>
  </si>
  <si>
    <t>UM</t>
  </si>
  <si>
    <t xml:space="preserve">Boyer v. Snap-on Tools Corp., </t>
  </si>
  <si>
    <t>913 F.2d 108, 1990 WL 126700, C.A.3 (Pa.), September 05, 1990 (NO. 90-5221)</t>
  </si>
  <si>
    <t>OJ</t>
  </si>
  <si>
    <t xml:space="preserve">Schoch v. First Fidelity Bancorporation, </t>
  </si>
  <si>
    <t>912 F.2d 654, 1990 WL 123029, 59 USLW 2199, 116 Lab.Cas. P 56,363, 5 IER Cases 1107, C.A.3 (Pa.), August 27, 1990 (NO. 90-1044)</t>
  </si>
  <si>
    <t xml:space="preserve">In re Hanratty, </t>
  </si>
  <si>
    <t>907 F.2d 1418, 1990 WL 98438, 23 Collier Bankr.Cas.2d 1043, 20 Bankr.Ct.Dec. 1235, Bankr. L. Rep. P 73,519, C.A.3 (Pa.), July 18, 1990 (NO. 89-2070, 89-2071)</t>
  </si>
  <si>
    <t>1989 Term (10/2/1989 - 9/30/1990)</t>
  </si>
  <si>
    <t xml:space="preserve">Smith v. Department of Educ., </t>
  </si>
  <si>
    <t>942 F.2d 199, 1991 WL 152601, C.A.3 (Virgin Islands), August 14, 1991 (NO. 90-3845)</t>
  </si>
  <si>
    <t xml:space="preserve">Northern Ins. Co. of New York v. Aardvark Associates, Inc., </t>
  </si>
  <si>
    <t>942 F.2d 189, 1991 WL 148491, 34 ERC 1039, 21 Envtl. L. Rep. 21,350, C.A.3 (Pa.), August 08, 1991 (NO. 90-3687)</t>
  </si>
  <si>
    <t xml:space="preserve">U.S. v. One Million Three Hundred Twenty-Two Thousand Two Hundred Forty-Two Dollars and Fifty-Eight cents ($1,322,242.58), </t>
  </si>
  <si>
    <t>938 F.2d 433, 1991 WL 124732, 60 USLW 2095, 20 Fed.R.Serv.3d 81, C.A.3 (Del.), July 12, 1991 (NO. 90-3368, 90-3406)</t>
  </si>
  <si>
    <t xml:space="preserve">N.L.R.B. v. Alan Motor Lines Inc., </t>
  </si>
  <si>
    <t>937 F.2d 887, 1991 WL 117492, 137 L.R.R.M. (BNA) 2995, 119 Lab.Cas. P 10,873, C.A.3, July 05, 1991 (NO. 90-3592, 90-3647)</t>
  </si>
  <si>
    <t xml:space="preserve">Charpentier v. Godsil, </t>
  </si>
  <si>
    <t>937 F.2d 859, 1991 WL 113868, 20 Fed.R.Serv.3d 255, C.A.3 (N.J.), June 28, 1991 (NO. 90-5656, 90-5701)</t>
  </si>
  <si>
    <t xml:space="preserve">Government of Virgin Islands v. Mills, </t>
  </si>
  <si>
    <t>935 F.2d 591, 1991 WL 90432, C.A.3 (Virgin Islands), June 03, 1991 (NO. 90-3531, 90-3596)</t>
  </si>
  <si>
    <t xml:space="preserve">Sheet Metal Workers Local 19 v. Keystone Heating and Air Conditioning, </t>
  </si>
  <si>
    <t>934 F.2d 35, 1991 WL 87642, 119 Lab.Cas. P 10,767, 19 Fed.R.Serv.3d 878, 13 Employee Benefits Cas. 2233, C.A.3 (Pa.), May 30, 1991 (NO. 90-1484)</t>
  </si>
  <si>
    <t xml:space="preserve">Miller v. Indiana Hosp., </t>
  </si>
  <si>
    <t>930 F.2d 334, 1991 WL 57782, 59 USLW 2662, 1991-1 Trade Cases P 69,409, C.A.3 (Pa.), April 19, 1991 (NO. 90-3331)</t>
  </si>
  <si>
    <t xml:space="preserve">U.S. v. Reyes, </t>
  </si>
  <si>
    <t>930 F.2d 310, 1991 WL 51545, C.A.3 (Pa.), April 11, 1991 (NO. 90-5401)</t>
  </si>
  <si>
    <t>929 F.2d 930, 1991 WL 42645, C.A.3 (Pa.), April 02, 1991 (NO. 90-1755)</t>
  </si>
  <si>
    <t xml:space="preserve">Welch v. Folsom, </t>
  </si>
  <si>
    <t>925 F.2d 666, 1991 WL 12984, 18 Fed.R.Serv.3d 989, C.A.3 (Del.), February 08, 1991 (NO. 90-3226)</t>
  </si>
  <si>
    <t xml:space="preserve">Gridley v. Cleveland Pneumatic Co., </t>
  </si>
  <si>
    <t>924 F.2d 1310, 1991 WL 9848, 59 USLW 2544, 13 Employee Benefits Cas. 1481, C.A.3 (Pa.), February 04, 1991 (NO. 90-5262)</t>
  </si>
  <si>
    <t xml:space="preserve">E.E.O.C. v. U.S. Steel Corp., </t>
  </si>
  <si>
    <t>921 F.2d 489, 1990 WL 200645, 54 Fair Empl.Prac.Cas. (BNA) 1044, 55 Empl. Prac. Dec. P 40,448, 59 USLW 2412, 13 Employee Benefits Cas. 1362, C.A.3 (Pa.), December 14, 1990 (NO. 90-3041)</t>
  </si>
  <si>
    <t xml:space="preserve">Fialkowski v. Greenwich Home for Children, Inc., </t>
  </si>
  <si>
    <t>921 F.2d 459, 1990 WL 192284, 1 NDLR P 150, C.A.3 (Pa.), December 06, 1990 (NO. 90-1136)</t>
  </si>
  <si>
    <t xml:space="preserve">Berardi v. Swanson Memorial Lodge No. 48 of the Fraternal Order of Police, </t>
  </si>
  <si>
    <t>920 F.2d 198, 1990 WL 192090, 135 L.R.R.M. (BNA) 3269, 117 Lab.Cas. P 10,439, 18 Fed.R.Serv.3d 493, C.A.3 (Pa.), December 05, 1990 (NO. 90-3329)</t>
  </si>
  <si>
    <t xml:space="preserve">U.S. v. Shoupe, </t>
  </si>
  <si>
    <t>929 F.2d 116, 1991 WL 41007, C.A.3 (Pa.), March 29, 1991 (NO. 90-5604)</t>
  </si>
  <si>
    <t xml:space="preserve">Bhaya v. Westinghouse Elec. Corp., </t>
  </si>
  <si>
    <t>922 F.2d 184, 1990 WL 211564, 54 Fair Empl.Prac.Cas. (BNA) 1078, 55 Empl. Prac. Dec. P 40,462, 31 Fed. R. Evid. Serv. 1379, C.A.3 (Pa.), December 28, 1990 (NO. 89-2063)</t>
  </si>
  <si>
    <t xml:space="preserve">U.S. v. Murillo, </t>
  </si>
  <si>
    <t>933 F.2d 195, 1991 WL 71528, C.A.3 (Del.), May 08, 1991 (NO. 90-3662, 90-3661, 90-3663)</t>
  </si>
  <si>
    <t>C</t>
  </si>
  <si>
    <t xml:space="preserve">Kehr Packages, Inc. v. Fidelcor, Inc., </t>
  </si>
  <si>
    <t>926 F.2d 1406, 1991 WL 26837, RICO Bus.Disp.Guide 7713, C.A.3 (Pa.), March 06, 1991 (NO. 90-1396)</t>
  </si>
  <si>
    <t>C/D</t>
  </si>
  <si>
    <t xml:space="preserve">Nathanson v. Medical College of Pennsylvania, </t>
  </si>
  <si>
    <t>926 F.2d 1368, 1991 WL 25074, 66 Ed. Law Rep. 35, 1 NDLR P 251, C.A.3 (Pa.), March 04, 1991 (NO. 90-1311)</t>
  </si>
  <si>
    <t xml:space="preserve">Burden v. U.S., </t>
  </si>
  <si>
    <t>917 F.2d 115, 1990 WL 161237, 66 A.F.T.R.2d 90-5792, 59 USLW 2288, 90-2 USTC P 50,598, 24 Collier Bankr.Cas.2d 187, 20 Bankr.Ct.Dec. 1937, C.A.3 (Pa.), October 26, 1990 (NO. 90-1147)</t>
  </si>
  <si>
    <t xml:space="preserve">Bolden v. Southeastern Pennsylvania Transp. Authority, </t>
  </si>
  <si>
    <t>Not Reported in F.2d, 1991 WL 41909, 59 USLW 2614, 6 IER Cases 481, 6 IER Cases 639, 1991 O.S.H.D. (CCH) P 29,295, C.A.3 (Pa.), April 01, 1991 (NO. 90-1435, 90-1478)</t>
  </si>
  <si>
    <t>T</t>
  </si>
  <si>
    <t xml:space="preserve">Rock v. Zimmerman, </t>
  </si>
  <si>
    <t>Not Reported in F.2d, 1991 WL 148490, C.A.3 (Pa.), August 08, 1991 (NO. 90-5120)</t>
  </si>
  <si>
    <t>D</t>
  </si>
  <si>
    <t xml:space="preserve">Cruz v. Chesapeake Shipping, Inc., </t>
  </si>
  <si>
    <t>932 F.2d 218, 1991 WL 64227, 30 Wage &amp; Hour Cas. (BNA) 455, 1991 A.M.C. 2017, 59 USLW 2687, 118 Lab.Cas. P 35,475, C.A.3 (Del.), April 29, 1991 (NO. 90-3390)</t>
  </si>
  <si>
    <t xml:space="preserve">U.S. v. Bierley, </t>
  </si>
  <si>
    <t>922 F.2d 1061, 1990 WL 211585, C.A.3 (Pa.), December 28, 1990 (NO. 90-5099)</t>
  </si>
  <si>
    <t xml:space="preserve">Monongahela Valley Hosp., Inc. v. Sullivan, </t>
  </si>
  <si>
    <t>945 F.2d 576, 1991 WL 183160, 60 USLW 2214, 35 Soc.Sec.Rep.Serv. 154, Med &amp; Med GD (CCH) P 39,595, C.A.3 (Pa.), September 20, 1991 (NO. 90-3247, 90-3207)</t>
  </si>
  <si>
    <t xml:space="preserve">U.S. v. Rieger, </t>
  </si>
  <si>
    <t>942 F.2d 230, 1991 WL 159194, C.A.3 (Pa.), August 22, 1991 (NO. 90-3615)</t>
  </si>
  <si>
    <t xml:space="preserve">Habecker v. Clark Equipment Co., </t>
  </si>
  <si>
    <t>942 F.2d 210, 1991 WL 158612, 33 Fed. R. Evid. Serv. 909, Prod.Liab.Rep. (CCH) P 12,949, C.A.3 (Pa.), August 21, 1991 (NO. 90-5645)</t>
  </si>
  <si>
    <t xml:space="preserve">U.S. v. Werme, </t>
  </si>
  <si>
    <t>939 F.2d 108, 1991 WL 137865, 33 Fed. R. Evid. Serv. 1479, C.A.3 (Pa.), July 30, 1991 (NO. 90-1485)</t>
  </si>
  <si>
    <t xml:space="preserve">Turbe v. Government of Virgin Islands, </t>
  </si>
  <si>
    <t>938 F.2d 427, 1991 WL 122919, C.A.3 (Virgin Islands), July 11, 1991 (NO. 90-3843)</t>
  </si>
  <si>
    <t xml:space="preserve">Taylor v. Freeland &amp; Kronz, </t>
  </si>
  <si>
    <t>938 F.2d 420, 1991 WL 118373, 60 USLW 2050, 25 Collier Bankr.Cas.2d 166, 22 Bankr.Ct.Dec. 633, Bankr. L. Rep. P 74,067, C.A.3 (Pa.), July 08, 1991 (NO. 90-3696)</t>
  </si>
  <si>
    <t xml:space="preserve">Government of Virgin Islands v. Harris, </t>
  </si>
  <si>
    <t>938 F.2d 401, 1991 WL 116669, 33 Fed. R. Evid. Serv. 598, C.A.3 (Virgin Islands), July 03, 1991 (NO. 90-3532)</t>
  </si>
  <si>
    <t xml:space="preserve">Osei-Afriyie by Osei-Afriyie v. Medical College of Pennsylvania, </t>
  </si>
  <si>
    <t>937 F.2d 876, 1991 WL 113873, C.A.3 (Pa.), July 01, 1991 (NO. 90-1642)</t>
  </si>
  <si>
    <t xml:space="preserve">U.S. v. Perakis, </t>
  </si>
  <si>
    <t>937 F.2d 110, 1991 WL 109660, C.A.3 (Del.), June 25, 1991 (NO. 90-3583)</t>
  </si>
  <si>
    <t xml:space="preserve">Colgan v. Fisher Scientific Co., </t>
  </si>
  <si>
    <t>935 F.2d 1407, 1991 WL 104662, 56 Fair Empl.Prac.Cas. (BNA) 106, 56 Empl. Prac. Dec. P 40,874, 60 USLW 2019, C.A.3 (Pa.), June 19, 1991 (NO. 90-3659)</t>
  </si>
  <si>
    <t xml:space="preserve">U.S. v. John, </t>
  </si>
  <si>
    <t>936 F.2d 764, 1991 WL 99880, C.A.3 (Virgin Islands), June 13, 1991 (NO. 90-3680)</t>
  </si>
  <si>
    <t xml:space="preserve">Lony v. E.I. Du Pont de Nemours &amp; Co., </t>
  </si>
  <si>
    <t>935 F.2d 604, 1991 WL 94791, C.A.3 (Del.), June 07, 1991 (NO. 90-3522)</t>
  </si>
  <si>
    <t xml:space="preserve">U.S. v. Georgiadis, </t>
  </si>
  <si>
    <t>933 F.2d 1219, 1991 WL 84039, C.A.3 (Pa.), May 23, 1991 (NO. 90-3224)</t>
  </si>
  <si>
    <t xml:space="preserve">Institute for Scientific Information, Inc. v. Gordon and Breach, Science Publishers, Inc., </t>
  </si>
  <si>
    <t>931 F.2d 1002, 1991 WL 53506, 18 U.S.P.Q.2d 1527, C.A.3 (Pa.), April 15, 1991 (NO. 90-1734)</t>
  </si>
  <si>
    <t xml:space="preserve">GK MGT Inc. v. Local 274, Hotel Employees and Restaurant Employees Union, AFL-CIO, </t>
  </si>
  <si>
    <t>930 F.2d 301, 1991 WL 50208, 137 L.R.R.M. (BNA) 2155, 118 Lab.Cas. P 10,694, C.A.3 (Pa.), April 10, 1991 (NO. 90-1750)</t>
  </si>
  <si>
    <t xml:space="preserve">Ford Motor Co. v. Summit Motor Products, Inc., </t>
  </si>
  <si>
    <t>930 F.2d 277, 1991 WL 46902, 1991 Copr.L.Dec. P 26,717, 19 Fed.R.Serv.3d 907, RICO Bus.Disp.Guide 7731, 18 U.S.P.Q.2d 1417, C.A.3 (N.J.), April 08, 1991 (NO. 90-5256, 90-5348, 90-5363, 90-5225)</t>
  </si>
  <si>
    <t xml:space="preserve">U.S. v. Soberon, </t>
  </si>
  <si>
    <t>929 F.2d 935, 1991 WL 43816, C.A.3 (Pa.), April 03, 1991 (NO. 90-3244)</t>
  </si>
  <si>
    <t xml:space="preserve">Matute v. Procoast Nav. Ltd., </t>
  </si>
  <si>
    <t>928 F.2d 627, 1991 WL 36549, 1991 A.M.C. 1332, 18 Fed.R.Serv.3d 1510, C.A.3 (N.J.), March 22, 1991 (NO. 90-5362)</t>
  </si>
  <si>
    <t xml:space="preserve">CNA Ins. Companies v. Waters, </t>
  </si>
  <si>
    <t>926 F.2d 247, 1991 WL 11997, C.A.3 (Pa.), February 07, 1991 (NO. 90-1491)</t>
  </si>
  <si>
    <t xml:space="preserve">Bane v. Netlink, Inc., </t>
  </si>
  <si>
    <t>925 F.2d 637, 1991 WL 8375, 54 Fair Empl.Prac.Cas. (BNA) 1566, 55 Empl. Prac. Dec. P 40,536, C.A.3 (Pa.), January 31, 1991 (NO. 90-1417)</t>
  </si>
  <si>
    <t xml:space="preserve">Matute v. Procoast Navigation Ltd., </t>
  </si>
  <si>
    <t>Not Reported in F.2d, 1991 WL 8378, 18 Fed.R.Serv.3d 1073, C.A.3 (N.J.), January 31, 1991 (NO. 90-5362)</t>
  </si>
  <si>
    <t xml:space="preserve">Helen Min. Co. v. Director, Office of Workers' Compensation Programs, U.S. Dept. of Labor, </t>
  </si>
  <si>
    <t>924 F.2d 1269, 1991 WL 6049, C.A.3, January 28, 1991 (NO. 89-3418)</t>
  </si>
  <si>
    <t xml:space="preserve">U.S. v. Com. of Pa., Dept. of Environmental Resources, </t>
  </si>
  <si>
    <t>923 F.2d 1071, 1991 WL 4050, 32 ERC 1601, C.A.3 (Pa.), January 22, 1991 (NO. 90-5337)</t>
  </si>
  <si>
    <t xml:space="preserve">University of Maryland at Baltimore v. Peat Marwick Main &amp; Co., </t>
  </si>
  <si>
    <t>923 F.2d 265, 1991 WL 1257, 59 USLW 2452, RICO Bus.Disp.Guide 7663, C.A.3 (Pa.), January 11, 1991 (NO. 90-1374)</t>
  </si>
  <si>
    <t xml:space="preserve">In re Joshua Slocum Ltd., </t>
  </si>
  <si>
    <t>922 F.2d 1081, 1990 WL 214921, 117 A.L.R. Fed. 725, 24 Collier Bankr.Cas.2d 581, 21 Bankr.Ct.Dec. 361, Bankr. L. Rep. P 73,769, C.A.3 (Pa.), December 31, 1990 (NO. 90-1072)</t>
  </si>
  <si>
    <t xml:space="preserve">Ingersoll-Rand Financial Corp. v. Anderson, </t>
  </si>
  <si>
    <t>921 F.2d 497, 1990 WL 202632, 13 UCC Rep.Serv.2d 799, C.A.3 (N.J.), December 17, 1990 (NO. 90-5302)</t>
  </si>
  <si>
    <t xml:space="preserve">Dole v. Arco Chemical Co., </t>
  </si>
  <si>
    <t>921 F.2d 484, 1990 WL 200644, 18 Fed.R.Serv.3d 546, 14 O.S.H. Cas. (BNA) 1937, 1991 O.S.H.D. (CCH) P 29,173, C.A.3, December 14, 1990 (NO. 90-3213)</t>
  </si>
  <si>
    <t xml:space="preserve">U.S. v. Wright, </t>
  </si>
  <si>
    <t>921 F.2d 42, 1990 WL 199114, C.A.3 (Pa.), December 13, 1990 (NO. 89-1976)</t>
  </si>
  <si>
    <t xml:space="preserve">Opticians Ass'n of America v. Independent Opticians of America, </t>
  </si>
  <si>
    <t>920 F.2d 187, 1990 WL 182707, 17 U.S.P.Q.2d 1117, C.A.3 (N.J.), November 29, 1990 (NO. 90-5429)</t>
  </si>
  <si>
    <t xml:space="preserve">U.S. v. Jacobs, </t>
  </si>
  <si>
    <t>919 F.2d 10, 1990 WL 174195, C.A.3 (Pa.), November 13, 1990 (NO. 90-5339)</t>
  </si>
  <si>
    <t xml:space="preserve">Smith v. Walter C. Best, Inc., </t>
  </si>
  <si>
    <t>927 F.2d 736, 1990 WL 267412, Prod.Liab.Rep. (CCH) P 12,768, C.A.3 (Pa.), November 05, 1990 (NO. 90-3077)</t>
  </si>
  <si>
    <t xml:space="preserve">Temple University v. White, </t>
  </si>
  <si>
    <t>941 F.2d 201, 1991 WL 137869, 20 Fed.R.Serv.3d 734, 69 Ed. Law Rep. 1029, 34 Soc.Sec.Rep.Serv. 355, Med &amp; Med GD (CCH) P 39,527, 2 NDLR P 20, C.A.3 (Pa.), July 30, 1991 (NO. 90-1203, 90-1112, 90-1206, 90-1244, 90-1661, 90-1205, 90-1204)</t>
  </si>
  <si>
    <t>1990 Term (10/1/1990 - 10/6/1991)</t>
  </si>
  <si>
    <t xml:space="preserve">Terry v. Petsock, </t>
  </si>
  <si>
    <t>974 F.2d 372, 1992 WL 208656, C.A.3 (Pa.), September 01, 1992 (NO. 91-9000)</t>
  </si>
  <si>
    <t xml:space="preserve">Fisher v. USAA Cas. Ins. Co., </t>
  </si>
  <si>
    <t>973 F.2d 1103, 1992 WL 204275, C.A.3 (Pa.), August 25, 1992 (NO. 91-1801)</t>
  </si>
  <si>
    <t xml:space="preserve">U.S. v. Polan, </t>
  </si>
  <si>
    <t>970 F.2d 1280, 1992 WL 179785, C.A.3 (Pa.), July 29, 1992 (NO. 91-3683)</t>
  </si>
  <si>
    <t xml:space="preserve">Althouse v. Resolution Trust Corp., </t>
  </si>
  <si>
    <t>969 F.2d 1544, 1992 WL 166360, 61 USLW 2065, C.A.3 (Pa.), July 21, 1992 (NO. 91-2044)</t>
  </si>
  <si>
    <t xml:space="preserve">Elkin v. Fauver, </t>
  </si>
  <si>
    <t>969 F.2d 48, 1992 WL 158739, C.A.3 (N.J.), July 13, 1992 (NO. 91-5896)</t>
  </si>
  <si>
    <t xml:space="preserve">Griffin v. Spratt, </t>
  </si>
  <si>
    <t>969 F.2d 16, 1992 WL 152231, C.A.3 (Pa.), July 07, 1992 (NO. 91-1604)</t>
  </si>
  <si>
    <t xml:space="preserve">Sanguigni v. Pittsburgh Bd. of Public Educ., </t>
  </si>
  <si>
    <t>968 F.2d 393, 1992 WL 147072, 76 Ed. Law Rep. 332, C.A.3 (Pa.), July 01, 1992 (NO. 91-3491)</t>
  </si>
  <si>
    <t xml:space="preserve">Tigg Corp. v. Dow Corning Corp., </t>
  </si>
  <si>
    <t>962 F.2d 1119, 1992 WL 84106, 17 UCC Rep.Serv.2d 730, C.A.3 (Pa.), April 29, 1992 (NO. 91-3344, 91-3345, 91-3232)</t>
  </si>
  <si>
    <t xml:space="preserve">McArdle v. Tronetti, </t>
  </si>
  <si>
    <t>961 F.2d 1083, 1992 WL 76102, C.A.3 (Pa.), April 17, 1992 (NO. 91-3601)</t>
  </si>
  <si>
    <t xml:space="preserve">U.S. v. Rodriguez, </t>
  </si>
  <si>
    <t>961 F.2d 1089, 1992 WL 76103, 35 Fed. R. Evid. Serv. 465, C.A.3 (Pa.), April 17, 1992 (NO. 91-1252)</t>
  </si>
  <si>
    <t xml:space="preserve">Grupo Protexa, S.A. v. All American Marine Slip, a Div. of Marine Office of America Corp., </t>
  </si>
  <si>
    <t>954 F.2d 130, 1992 WL 1302, 1992 A.M.C. 1227, C.A.3 (N.J.), January 08, 1992 (NO. 90-6048, 91-5109)</t>
  </si>
  <si>
    <t xml:space="preserve">Armotek Industries, Inc. v. Employers Ins. of Wausau, </t>
  </si>
  <si>
    <t>952 F.2d 756, 1991 WL 276286, 34 ERC 1772, 60 USLW 2463, 22 Envtl. L. Rep. 20,561, C.A.3 (N.J.), December 31, 1991 (NO. 90-5969, 90-6001)</t>
  </si>
  <si>
    <t xml:space="preserve">Bricklayers and Allied Craftsmen Intern. Union Local 33 Ben. Funds v. America's Marble Source, Inc., </t>
  </si>
  <si>
    <t>950 F.2d 114, 1991 WL 253389, 60 USLW 2382, 14 Employee Benefits Cas. 2124, C.A.3 (N.J.), December 04, 1991 (NO. 91-5151)</t>
  </si>
  <si>
    <t xml:space="preserve">Manor Care, Inc. v. Yaskin, </t>
  </si>
  <si>
    <t>950 F.2d 122, 1991 WL 253390, 34 ERC 1001, 60 USLW 2395, 22 Envtl. L. Rep. 20,320, C.A.3 (N.J.), December 04, 1991 (NO. 91-5128)</t>
  </si>
  <si>
    <t xml:space="preserve">Hospital Council of Western Pennsylvania v. City of Pittsburgh, </t>
  </si>
  <si>
    <t>949 F.2d 83, 1991 WL 236237, C.A.3 (Pa.), November 15, 1991 (NO. 91-3035)</t>
  </si>
  <si>
    <t xml:space="preserve">U.S. v. Parcel of Real Property Known as 1500 Lincoln Ave., </t>
  </si>
  <si>
    <t>949 F.2d 73, 1991 WL 227962, 60 USLW 2359, C.A.3 (Pa.), November 07, 1991 (NO. 91-3159)</t>
  </si>
  <si>
    <t xml:space="preserve">U.S. v. Valdez-Gonzalez, </t>
  </si>
  <si>
    <t>957 F.2d 643, 1992 WL 26494, 60 USLW 2602, 5 Fed.Sent.R. 324, C.A.9 (Ariz.), February 19, 1992 (NO. 89-10274, 89-10330)</t>
  </si>
  <si>
    <t>953 F.2d 807, 1991 WL 279045, 139 L.R.R.M. (BNA) 2118, 60 USLW 2446, 120 Lab.Cas. P 56,772, 7 IER Cases 92, 1993 O.S.H.D. (CCH) P 30,008, C.A.3 (Pa.), December 31, 1991 (NO. 90-1435, 90-1478)</t>
  </si>
  <si>
    <t xml:space="preserve">U.S. v. Belletiere, </t>
  </si>
  <si>
    <t>971 F.2d 961, 1992 WL 173096, C.A.3 (Pa.), July 22, 1992 (NO. 91-5615)</t>
  </si>
  <si>
    <t>955 F.2d 858, 1992 WL 13808, C.A.3 (Del.), January 31, 1992 (NO. 91-3059)</t>
  </si>
  <si>
    <t xml:space="preserve">Gluck v. Unisys Corp., </t>
  </si>
  <si>
    <t>960 F.2d 1168, 1992 WL 61699, 15 Employee Benefits Cas. 1095, C.A.3 (Pa.), March 31, 1992 (NO. 91-1170)</t>
  </si>
  <si>
    <t xml:space="preserve">Specter v. Garrett, </t>
  </si>
  <si>
    <t>971 F.2d 936, 1992 WL 76104, 60 USLW 2686, C.A.3 (Pa.), April 17, 1992 (NO. 91-1932)</t>
  </si>
  <si>
    <t xml:space="preserve">Planned Parenthood of Southeastern Pennsylvania v. Casey, </t>
  </si>
  <si>
    <t>505 U.S. 833, 112 S.Ct. 2791, 1992 WL 142546, 120 L.Ed.2d 674, 60 USLW 4795, U.S.Pa., June 29, 1992 (NO. 91-744, 91-902)</t>
  </si>
  <si>
    <t>947 F.2d 682, 1991 WL 209106, 60 USLW 2276, C.A.3 (Pa.), October 21, 1991 (NO. 90-1662)</t>
  </si>
  <si>
    <t xml:space="preserve">Federal Labor Relations Authority v. U.S. Dept. of Navy, </t>
  </si>
  <si>
    <t>966 F.2d 747, 1992 WL 108347, 140 L.R.R.M. (BNA) 2361, 60 USLW 2780, C.A.3, May 26, 1992 (NO. 90-3690, 90-3724)</t>
  </si>
  <si>
    <t xml:space="preserve">Burkett v. Fulcomer, </t>
  </si>
  <si>
    <t>951 F.2d 1431, 1991 WL 270656, C.A.3 (Pa.), December 20, 1991 (NO. 91-3040)</t>
  </si>
  <si>
    <t xml:space="preserve">Government of Virgin Islands v. Smith, </t>
  </si>
  <si>
    <t>949 F.2d 677, 1991 WL 242955, C.A.3 (Virgin Islands), November 22, 1991 (NO. 90-3652)</t>
  </si>
  <si>
    <t xml:space="preserve">Dillinger v. Caterpillar, Inc., </t>
  </si>
  <si>
    <t>959 F.2d 430, 1992 WL 31828, Prod.Liab.Rep. (CCH) P 13,068, C.A.3 (Pa.), February 25, 1992 (NO. 91-3308)</t>
  </si>
  <si>
    <t xml:space="preserve">Armstrong World Industries, Inc. v. C.I.R., </t>
  </si>
  <si>
    <t>974 F.2d 422, 1992 WL 215939, 70 A.F.T.R.2d 92-5708, 92-2 USTC P 50,461, C.A.3, September 09, 1992 (NO. 92-7032)</t>
  </si>
  <si>
    <t xml:space="preserve">Haines v. Liggett Group Inc., </t>
  </si>
  <si>
    <t>975 F.2d 81, 1992 WL 212498, 61 USLW 2148, 36 Fed. R. Evid. Serv. 782, C.A.3 (N.J.), September 04, 1992 (NO. 92-5144)</t>
  </si>
  <si>
    <t xml:space="preserve">ALM Corp. v. U.S. E.P.A., Region II, </t>
  </si>
  <si>
    <t>974 F.2d 380, 1992 WL 210296, 35 ERC 1577, 23 Envtl. L. Rep. 20,126, C.A.3, September 02, 1992 (NO. 91-3785)</t>
  </si>
  <si>
    <t xml:space="preserve">Raymark Industries, Inc. v. Lai, </t>
  </si>
  <si>
    <t>973 F.2d 1125, 1992 WL 210300, 23 Bankr.Ct.Dec. 689, Bankr. L. Rep. P 74,914, C.A.3 (Pa.), September 02, 1992 (NO. 91-2099)</t>
  </si>
  <si>
    <t xml:space="preserve">Chauffeurs, Teamsters and Helpers Local 776 Affiliated With Intern. Broth. of Teamsters, AFL-CIO v. N.L.R.B., </t>
  </si>
  <si>
    <t>973 F.2d 230, 1992 WL 204279, 141 L.R.R.M. (BNA) 2176, 122 Lab.Cas. P 10,328, C.A.3, August 26, 1992 (NO. 92-3000, 92-3068)</t>
  </si>
  <si>
    <t xml:space="preserve">Oracare DPO, Inc. v. Merin, </t>
  </si>
  <si>
    <t>972 F.2d 519, 1992 WL 192984, C.A.3 (N.J.), August 14, 1992 (NO. 91-5617, 92-5309)</t>
  </si>
  <si>
    <t xml:space="preserve">Stinson v. Kaiser Gypsum Co., Inc., </t>
  </si>
  <si>
    <t>972 F.2d 59, 1992 WL 193107, Prod.Liab.Rep. (CCH) P 13,261, C.A.3 (Pa.), August 12, 1992 (NO. 91-1940)</t>
  </si>
  <si>
    <t xml:space="preserve">D.R. by L.R. v. Middle Bucks Area Vocational Technical School, </t>
  </si>
  <si>
    <t>972 F.2d 1364, 1992 WL 191115, 61 USLW 2107, 76 Ed. Law Rep. 947, C.A.3 (Pa.), August 11, 1992 (NO. 91-1136, 91-1137)</t>
  </si>
  <si>
    <t xml:space="preserve">Katz v. Aetna Cas. &amp; Sur. Co., </t>
  </si>
  <si>
    <t>972 F.2d 53, 1992 WL 186673, C.A.3 (Pa.), August 06, 1992 (NO. 91-1498)</t>
  </si>
  <si>
    <t xml:space="preserve">1975 Salaried Retirement Plan for Eligible Employees of Crucible, Inc. v. Nobers, </t>
  </si>
  <si>
    <t>968 F.2d 401, 1992 WL 150922, 61 USLW 2059, 122 Lab.Cas. P 10,268, 15 Employee Benefits Cas. 1971, C.A.3 (Pa.), July 06, 1992 (NO. 91-3426)</t>
  </si>
  <si>
    <t xml:space="preserve">J. Meade Williamson and F.D.I.B., Inc. v. Piper Aircraft Corp., </t>
  </si>
  <si>
    <t>968 F.2d 380, 1992 WL 143569, C.A.3 (Pa.), June 29, 1992 (NO. 91-1621, 91-1689, 91-1625, 91-1623, 91-1687, 91-1624, 91-1622, 91-1688, 91-1686)</t>
  </si>
  <si>
    <t xml:space="preserve">Sapos v. Provident Inst. of Sav. in Town of Boston, </t>
  </si>
  <si>
    <t>967 F.2d 918, 1992 WL 143504, 28 Collier Bankr.Cas.2d 963, 23 Bankr.Ct.Dec. 229, Bankr. L. Rep. P 74,687, C.A.3 (Pa.), June 26, 1992 (NO. 91-3768)</t>
  </si>
  <si>
    <t xml:space="preserve">S &amp; R Corp. v. Jiffy Lube Intern., Inc., </t>
  </si>
  <si>
    <t>968 F.2d 371, 1992 WL 138732, 23 U.S.P.Q.2d 1201, C.A.3 (N.J.), June 23, 1992 (NO. 91-5887, 91-5614)</t>
  </si>
  <si>
    <t xml:space="preserve">U.S. v. Hill, </t>
  </si>
  <si>
    <t>967 F.2d 902, 1992 WL 136535, C.A.3 (Pa.), June 22, 1992 (NO. 91-1576)</t>
  </si>
  <si>
    <t xml:space="preserve">Geschwendt v. Ryan, </t>
  </si>
  <si>
    <t>967 F.2d 877, 1992 WL 136410, C.A.3 (Pa.), June 18, 1992 (NO. 91-1244)</t>
  </si>
  <si>
    <t xml:space="preserve">Dranoff-Perlstein Associates v. Sklar, </t>
  </si>
  <si>
    <t>967 F.2d 852, 1992 WL 131926, 61 USLW 2013, 23 U.S.P.Q.2d 1174, C.A.3 (Pa.), June 17, 1992 (NO. 91-1415)</t>
  </si>
  <si>
    <t xml:space="preserve">Mindek v. Rigatti, </t>
  </si>
  <si>
    <t>964 F.2d 1369, 1992 WL 111922, 23 Fed.R.Serv.3d 201, C.A.3 (Pa.), May 29, 1992 (NO. 92-3040)</t>
  </si>
  <si>
    <t xml:space="preserve">Mazur v. Merck &amp; Co., Inc., </t>
  </si>
  <si>
    <t>964 F.2d 1348, 1992 WL 104413, 60 USLW 2808, 75 Ed. Law Rep. 745, Prod.Liab.Rep. (CCH) P 13,183, C.A.3 (Pa.), May 20, 1992 (NO. 91-1613)</t>
  </si>
  <si>
    <t xml:space="preserve">Borse v. Piece Goods Shop, Inc., </t>
  </si>
  <si>
    <t>963 F.2d 611, 1992 WL 97177, 60 USLW 2741, 121 Lab.Cas. P 56,894, 122 Lab.Cas. P 57,001, 7 IER Cases 800, 7 IER Cases 698, 7 IER Cases 977, C.A.3 (Pa.), May 13, 1992 (NO. 91-1197)</t>
  </si>
  <si>
    <t xml:space="preserve">Yaron v. Township of Northampton, </t>
  </si>
  <si>
    <t>963 F.2d 33, 1992 WL 85144, C.A.3 (Pa.), April 30, 1992 (NO. 91-1743)</t>
  </si>
  <si>
    <t xml:space="preserve">St. Francis Medical Center v. Sullivan, </t>
  </si>
  <si>
    <t>962 F.2d 1110, 1992 WL 82098, 37 Soc.Sec.Rep.Serv. 234, Med &amp; Med GD (CCH) P 40,159, C.A.3 (Pa.), April 24, 1992 (NO. 91-3429, 91-3406)</t>
  </si>
  <si>
    <t xml:space="preserve">Armstrong World Industries, Inc. by Wolfson v. Adams, </t>
  </si>
  <si>
    <t>961 F.2d 405, 1992 WL 71387, 60 USLW 2682, Fed. Sec. L. Rep. P 96,589, C.A.3 (Pa.), April 10, 1992 (NO. 91-1503)</t>
  </si>
  <si>
    <t xml:space="preserve">U.S. v. Brentley, </t>
  </si>
  <si>
    <t>961 F.2d 425, 1992 WL 71389, C.A.3 (Pa.), April 10, 1992 (NO. 91-3520)</t>
  </si>
  <si>
    <t xml:space="preserve">Sheet Metal Workers' Local 28 of New Jersey Welfare Fund v. Gallagher, </t>
  </si>
  <si>
    <t>960 F.2d 1195, 1992 WL 67008, 140 L.R.R.M. (BNA) 2001, 121 Lab.Cas. P 10,097, 15 Employee Benefits Cas. 1074, C.A.3 (N.J.), April 03, 1992 (NO. 91-5056)</t>
  </si>
  <si>
    <t xml:space="preserve">Borman v. Raymark Industries, Inc., </t>
  </si>
  <si>
    <t>960 F.2d 327, 1992 WL 58843, Prod.Liab.Rep. (CCH) P 13,140, C.A.3 (Pa.), March 30, 1992 (NO. 89-2110)</t>
  </si>
  <si>
    <t xml:space="preserve">Town Sound and Custom Tops, Inc. v. Chrysler Motors Corp., </t>
  </si>
  <si>
    <t>959 F.2d 468, 1992 WL 56102, 60 USLW 2621, 1992-1 Trade Cases P 69,773, C.A.3 (Pa.), March 26, 1992 (NO. 90-1547)</t>
  </si>
  <si>
    <t>959 F.2d 1237, 1992 WL 54169, C.A.3 (Pa.), March 24, 1992 (NO. 90-5120)</t>
  </si>
  <si>
    <t xml:space="preserve">Jones v. Century Oil U.S.A., Inc., </t>
  </si>
  <si>
    <t>957 F.2d 84, 1992 WL 28967, C.A.3 (Pa.), February 21, 1992 (NO. 91-5287)</t>
  </si>
  <si>
    <t xml:space="preserve">Ditri v. Coldwell Banker Residential Affiliates, Inc., </t>
  </si>
  <si>
    <t>954 F.2d 869, 1992 WL 6931, 60 USLW 2512, 1993-2 Trade Cases P 70,465, 21 U.S.P.Q.2d 1530, C.A.3 (Pa.), January 22, 1992 (NO. 91-1525)</t>
  </si>
  <si>
    <t xml:space="preserve">U.S. v. RD 1, Box 1, Thompsontown, Delaware Tp., Juniata County, Pa., </t>
  </si>
  <si>
    <t>952 F.2d 53, 1991 WL 273915, 60 USLW 2480, C.A.3 (Pa.), December 23, 1991 (NO. 91-5200)</t>
  </si>
  <si>
    <t xml:space="preserve">Felton v. Southeastern Pennsylvania Transp. Authority, </t>
  </si>
  <si>
    <t>952 F.2d 59, 1991 WL 273917, C.A.3 (Pa.), December 23, 1991 (NO. 91-1195)</t>
  </si>
  <si>
    <t xml:space="preserve">Limbach Co. v. Sheet Metal Workers Intern. Ass'n, AFL-CIO, </t>
  </si>
  <si>
    <t>949 F.2d 1241, 1991 WL 255230, 138 L.R.R.M. (BNA) 2980, 60 USLW 2397, 120 Lab.Cas. P 11,033, C.A.3 (Pa.), December 06, 1991 (NO. 90-3606)</t>
  </si>
  <si>
    <t xml:space="preserve">Nazay v. Miller, </t>
  </si>
  <si>
    <t>949 F.2d 1323, 1991 WL 255231, 60 USLW 2398, 14 Employee Benefits Cas. 1953, C.A.3 (Pa.), December 06, 1991 (NO. 91-5369)</t>
  </si>
  <si>
    <t xml:space="preserve">U.S. v. Paolello, </t>
  </si>
  <si>
    <t>951 F.2d 537, 1991 WL 255307, C.A.3 (Pa.), December 04, 1991 (NO. 91-3282)</t>
  </si>
  <si>
    <t xml:space="preserve">Maritime Elec. Co., Inc. v. United Jersey Bank, </t>
  </si>
  <si>
    <t>959 F.2d 1194, 1992 WL 53790, 22 Bankr.Ct.Dec. 1309, Bankr. L. Rep. P 74,353, C.A.3 (N.J.), December 02, 1991 (NO. 90-6057)</t>
  </si>
  <si>
    <t xml:space="preserve">Velis v. Kardanis, </t>
  </si>
  <si>
    <t>949 F.2d 78, 1991 WL 235163, 60 USLW 2346, 25 Collier Bankr.Cas.2d 1362, 22 Bankr.Ct.Dec. 414, Bankr. L. Rep. P 74,329, 14 Employee Benefits Cas. 1922, C.A.3 (N.J.), November 14, 1991 (NO. 91-5084)</t>
  </si>
  <si>
    <t>946 F.2d 1031, 1991 WL 209105, 60 USLW 2304, 25 Collier Bankr.Cas.2d 1169, 22 Bankr.Ct.Dec. 335, Bankr. L. Rep. P 74,286, C.A.3 (Pa.), October 21, 1991 (NO. 89-2110)</t>
  </si>
  <si>
    <t xml:space="preserve">Kramer v. Thompson, </t>
  </si>
  <si>
    <t>947 F.2d 666, 1991 WL 204627, C.A.3 (Pa.), October 15, 1991 (NO. 90-1488, 90-1640)</t>
  </si>
  <si>
    <t xml:space="preserve">U.S. v. Hayes, </t>
  </si>
  <si>
    <t>946 F.2d 230, 1991 WL 197909, C.A.3 (Pa.), October 08, 1991 (NO. 91-3152)</t>
  </si>
  <si>
    <t xml:space="preserve">Elliot Coal Min. Co., Inc. v. Director, Office of Workers' Compensation Programs, U.S. Dept. of Labor, </t>
  </si>
  <si>
    <t>956 F.2d 448, 1992 WL 21870, C.A.3, February 12, 1992 (NO. 91-3370)</t>
  </si>
  <si>
    <t>PC</t>
  </si>
  <si>
    <t xml:space="preserve">U.S. v. Pelullo, </t>
  </si>
  <si>
    <t>964 F.2d 193, 1992 WL 95985, 35 Fed. R. Evid. Serv. 971, C.A.3 (Pa.), May 12, 1992 (NO. 91-1792)</t>
  </si>
  <si>
    <t>1991 Term (10/7/1991 - 10/4/1992)</t>
  </si>
  <si>
    <t xml:space="preserve">Cort v. Director, Office of Workers' Compensation Programs, </t>
  </si>
  <si>
    <t>996 F.2d 1549, 1993 WL 230177, C.A.3, June 30, 1993 (NO. 92-3544)</t>
  </si>
  <si>
    <t xml:space="preserve">Com. of Pa. Office of Budget v. Department of Health and Human Services, </t>
  </si>
  <si>
    <t>996 F.2d 1505, 1993 WL 196256, C.A.3 (Pa.), June 11, 1993 (NO. 92-7373)</t>
  </si>
  <si>
    <t xml:space="preserve">Petrocelli v. Daniel Woodhead Co., a Subsidiary of Woodhead Industries, Inc., </t>
  </si>
  <si>
    <t>993 F.2d 27, 1993 WL 152877, C.A.3 (N.J.), May 13, 1993 (NO. 92-5305)</t>
  </si>
  <si>
    <t>991 F.2d 1162, 1993 WL 139790, 61 USLW 2747, C.A.3 (Del.), April 30, 1993 (NO. 92-7353)</t>
  </si>
  <si>
    <t xml:space="preserve">Clowes v. Allegheny Valley Hosp., </t>
  </si>
  <si>
    <t>991 F.2d 1159, 1993 WL 125042, 61 Fair Empl.Prac.Cas. (BNA) 908, 62 Fair Empl.Prac.Cas. (BNA) 384, 62 Empl. Prac. Dec. P 42,385, 61 USLW 2691, C.A.3 (Pa.), April 23, 1993 (NO. 92-3271)</t>
  </si>
  <si>
    <t xml:space="preserve">In re Channel Home Centers, Inc., </t>
  </si>
  <si>
    <t>989 F.2d 682, 1993 WL 88622, 137 A.L.R. Fed. 627, 61 USLW 2613, 28 Collier Bankr.Cas.2d 1010, 24 Bankr.Ct.Dec. 162, Bankr. L. Rep. P 75,198, C.A.3 (N.J.), March 30, 1993 (NO. 91-6056)</t>
  </si>
  <si>
    <t xml:space="preserve">U.S. v. Chapple, </t>
  </si>
  <si>
    <t>985 F.2d 729, 1993 WL 30975, C.A.3 (Pa.), February 11, 1993 (NO. 92-3107, 92-3102)</t>
  </si>
  <si>
    <t xml:space="preserve">Aliota v. Graham, </t>
  </si>
  <si>
    <t>984 F.2d 1350, 1993 WL 11887, 61 USLW 2497, C.A.3 (Pa.), January 22, 1993 (NO. 91-3757, 92-3020)</t>
  </si>
  <si>
    <t xml:space="preserve">John Hancock Mut. Life Ins. Co. v. Route 37 Business Park Associates, </t>
  </si>
  <si>
    <t>987 F.2d 154, 1993 WL 11894, 61 USLW 2497, 28 Collier Bankr.Cas.2d 440, 23 Bankr.Ct.Dec. 1537, Bankr. L. Rep. P 75,104, C.A.3 (N.J.), January 22, 1993 (NO. 92-5100)</t>
  </si>
  <si>
    <t xml:space="preserve">Wheeler v. Graco Trucking Corp., </t>
  </si>
  <si>
    <t>985 F.2d 108, 1993 WL 11960, 142 L.R.R.M. (BNA) 2375, 124 Lab.Cas. P 10,518, 1 Wage &amp; Hour Cas.2d (BNA) 345, C.A.3 (Pa.), January 22, 1993 (NO. 91-2040)</t>
  </si>
  <si>
    <t xml:space="preserve">Moats v. United Mine Workers of America Health and Retirement Funds, </t>
  </si>
  <si>
    <t>981 F.2d 685, 1992 WL 328975, C.A.3 (Pa.), November 12, 1992 (NO. 92-3067)</t>
  </si>
  <si>
    <t xml:space="preserve">Grant v. Shalala, </t>
  </si>
  <si>
    <t>989 F.2d 1332, 1993 WL 56182, 61 USLW 2559, 40 Soc.Sec.Rep.Serv. 527, Unempl.Ins.Rep. (CCH) P 17171A, C.A.3 (Pa.), March 05, 1993 (NO. 91-5675)</t>
  </si>
  <si>
    <t xml:space="preserve">Gillis v. Hoechst Celanese Corp., </t>
  </si>
  <si>
    <t>4 F.3d 1137, 1993 WL 335369, 62 USLW 2180, 17 Employee Benefits Cas. 1521, Pens. Plan Guide (CCH) P 23884R, C.A.3 (Pa.), September 07, 1993 (NO. 92-1879)</t>
  </si>
  <si>
    <t xml:space="preserve">Dunn v. HOVIC, </t>
  </si>
  <si>
    <t>1 F.3d 1371, 1993 WL 280302, 62 USLW 2075, Prod.Liab.Rep. (CCH) P 13,543, C.A.3 (Virgin Islands), July 27, 1993 (NO. 91-3837)</t>
  </si>
  <si>
    <t xml:space="preserve">Ramseur v. Beyer, </t>
  </si>
  <si>
    <t>983 F.2d 1215, 1992 WL 386374, 61 USLW 2440, C.A.3 (N.J.), December 31, 1992 (NO. 90-5333)</t>
  </si>
  <si>
    <t xml:space="preserve">In re Market Square Inn, Inc., </t>
  </si>
  <si>
    <t>978 F.2d 116, 1992 WL 307960, 61 USLW 2315, 27 Collier Bankr.Cas.2d 1446, 23 Bankr.Ct.Dec. 1037, C.A.3 (Pa.), October 27, 1992 (NO. 91-3810)</t>
  </si>
  <si>
    <t xml:space="preserve">Ticor Title Ins. Co. v. F.T.C., </t>
  </si>
  <si>
    <t>998 F.2d 1129, 1993 WL 259930, 62 USLW 2050, 1993-2 Trade Cases P 70,296, C.A.3, July 15, 1993 (NO. 89-3787)</t>
  </si>
  <si>
    <t>995 F.2d 404, 1993 WL 158812, 61 USLW 2733, C.A.3 (Pa.), May 18, 1993 (NO. 91-1932)</t>
  </si>
  <si>
    <t xml:space="preserve">Kleinknecht v. Gettysburg College, </t>
  </si>
  <si>
    <t>989 F.2d 1360, 1993 WL 90883, 61 USLW 2606, 25 Fed.R.Serv.3d 65, 82 Ed. Law Rep. 43, C.A.3 (Pa.), March 31, 1993 (NO. 92-7160)</t>
  </si>
  <si>
    <t xml:space="preserve">Dailey v. National Hockey League, </t>
  </si>
  <si>
    <t>987 F.2d 172, 1993 WL 38462, 61 USLW 2542, 16 Employee Benefits Cas. 1609, C.A.3 (N.J.), February 18, 1993 (NO. 92-5156)</t>
  </si>
  <si>
    <t xml:space="preserve">Lansford-Coaldale Joint Water Authority v. Tonolli Corp., </t>
  </si>
  <si>
    <t>4 F.3d 1209, 1993 WL 356904, 37 ERC 1775, 62 USLW 2231, 26 Fed.R.Serv.3d 779, 23 Envtl. L. Rep. 21,534, C.A.3 (Pa.), September 17, 1993 (NO. 92-7605, 92-7671)</t>
  </si>
  <si>
    <t xml:space="preserve">U.S. v. Harvey, </t>
  </si>
  <si>
    <t>2 F.3d 1318, 1993 WL 316481, C.A.3 (Pa.), August 23, 1993 (NO. 92-3273)</t>
  </si>
  <si>
    <t xml:space="preserve">Powers v. Southland Corp., </t>
  </si>
  <si>
    <t>4 F.3d 223, 1993 WL 316483, C.A.3 (Pa.), August 23, 1993 (NO. 92-1562)</t>
  </si>
  <si>
    <t>3 F.3d 69, 1993 WL 316485, C.A.3 (Pa.), August 23, 1993 (NO. 92-3677)</t>
  </si>
  <si>
    <t xml:space="preserve">U.S. v. Premises Known as 717 South Woodward Street, Allentown, Pa., </t>
  </si>
  <si>
    <t>2 F.3d 529, 1993 WL 315531, 27 Fed.R.Serv.3d 1, C.A.3 (Pa.), August 20, 1993 (NO. 92-1916)</t>
  </si>
  <si>
    <t xml:space="preserve">Donatelli v. Mitchell, </t>
  </si>
  <si>
    <t>2 F.3d 508, 1993 WL 304622, C.A.3 (Pa.), August 13, 1993 (NO. 93-1293)</t>
  </si>
  <si>
    <t xml:space="preserve">U.S. v. Rohm and Haas Co., </t>
  </si>
  <si>
    <t>2 F.3d 1265, 1993 WL 303148, 37 ERC 1193, 62 USLW 2104, 23 Envtl. L. Rep. 21,345, C.A.3 (Pa.), August 12, 1993 (NO. 92-1517)</t>
  </si>
  <si>
    <t xml:space="preserve">U.S. v. Frost, </t>
  </si>
  <si>
    <t>999 F.2d 737, 1993 WL 270140, 62 USLW 2130, C.A.3 (Pa.), July 22, 1993 (NO. 92-3579)</t>
  </si>
  <si>
    <t xml:space="preserve">Westinghouse Elec. Corp. by Levit v. Franklin, </t>
  </si>
  <si>
    <t>993 F.2d 349, 1993 WL 163807, 61 USLW 2728, Fed. Sec. L. Rep. P 97,455, C.A.3 (N.J.), May 19, 1993 (NO. 92-5513)</t>
  </si>
  <si>
    <t xml:space="preserve">Exxon Shipping Co. v. Exxon Seamen's Union, </t>
  </si>
  <si>
    <t>993 F.2d 357, 1993 WL 163808, 143 L.R.R.M. (BNA) 2312, 1993 A.M.C. 1817, 61 USLW 2764, 125 Lab.Cas. P 10,703, C.A.3 (N.J.), May 19, 1993 (NO. 92-5145)</t>
  </si>
  <si>
    <t xml:space="preserve">Prudential Ins. Co. of America v. U.S. Gypsum Co., </t>
  </si>
  <si>
    <t>991 F.2d 1080, 1993 WL 90879, 61 USLW 2617, 25 Fed.R.Serv.3d 16, C.A.3, March 31, 1993 (NO. 92-5616)</t>
  </si>
  <si>
    <t xml:space="preserve">Hakeem v. Beyer, </t>
  </si>
  <si>
    <t>990 F.2d 750, 1993 WL 92766, C.A.3 (N.J.), March 31, 1993 (NO. 91-5848, 91-5884)</t>
  </si>
  <si>
    <t xml:space="preserve">Grand Entertainment Group, Ltd. v. Star Media Sales, Inc., </t>
  </si>
  <si>
    <t>988 F.2d 476, 1993 WL 75875, 25 Fed.R.Serv.3d 440, RICO Bus.Disp.Guide 8251, C.A.3 (Pa.), March 19, 1993 (NO. 92-1272)</t>
  </si>
  <si>
    <t xml:space="preserve">Jones v. Ryan, </t>
  </si>
  <si>
    <t>987 F.2d 960, 1993 WL 56180, C.A.3 (Pa.), March 05, 1993 (NO. 91-1821)</t>
  </si>
  <si>
    <t xml:space="preserve">Coca-Cola Bottling Co. of Elizabethtown, Inc. v. Coca-Cola Co., </t>
  </si>
  <si>
    <t>988 F.2d 386, 1993 WL 36343, C.A.3 (Del.), February 17, 1993 (NO. 91-3498, 91-3496)</t>
  </si>
  <si>
    <t xml:space="preserve">Coca-Cola Bottling Co. of Shreveport, Inc. v. Coca-Cola Co., </t>
  </si>
  <si>
    <t>988 F.2d 414, 1993 WL 40311, C.A.3 (Del.), February 17, 1993 (NO. 91-3497)</t>
  </si>
  <si>
    <t xml:space="preserve">U.S. v. Love, </t>
  </si>
  <si>
    <t>985 F.2d 732, 1993 WL 32490, 61 USLW 2502, C.A.3 (Pa.), February 12, 1993 (NO. 92-3377)</t>
  </si>
  <si>
    <t xml:space="preserve">Geisinger Health Plan v. C.I.R., </t>
  </si>
  <si>
    <t>985 F.2d 1210, 1993 WL 29140, 71 A.F.T.R.2d 93-815, 61 USLW 2512, 93-1 USTC P 50,123, 16 Employee Benefits Cas. 1577, C.A.3, February 08, 1993 (NO. 92-7251)</t>
  </si>
  <si>
    <t xml:space="preserve">Painewebber Inc. v. Hofmann, </t>
  </si>
  <si>
    <t>984 F.2d 1372, 1993 WL 23779, 129 A.L.R. Fed. 715, Fed. Sec. L. Rep. P 97,381, C.A.3 (Pa.), February 03, 1993 (NO. 92-1294)</t>
  </si>
  <si>
    <t xml:space="preserve">Black by Black v. Indiana Area School Dist., </t>
  </si>
  <si>
    <t>985 F.2d 707, 1993 WL 17081, 80 Ed. Law Rep. 812, C.A.3 (Pa.), January 29, 1993 (NO. 91-3481)</t>
  </si>
  <si>
    <t xml:space="preserve">U.S. v. Dixon, </t>
  </si>
  <si>
    <t>982 F.2d 116, 1992 WL 385457, C.A.3 (Pa.), December 30, 1992 (NO. 92-3127, 92-3124)</t>
  </si>
  <si>
    <t xml:space="preserve">U.S. v. Tabaka, </t>
  </si>
  <si>
    <t>982 F.2d 100, 1992 WL 381722, C.A.3 (Pa.), December 28, 1992 (NO. 91-3882)</t>
  </si>
  <si>
    <t xml:space="preserve">U.S. v. Frazier, </t>
  </si>
  <si>
    <t>981 F.2d 92, 1992 WL 338486, C.A.3 (Pa.), November 23, 1992 (NO. 92-3177, 92-3178, 92-3196)</t>
  </si>
  <si>
    <t xml:space="preserve">Clark v. K-Mart Corp., </t>
  </si>
  <si>
    <t>979 F.2d 965, 1992 WL 334037, 16 Employee Benefits Cas. 1523, C.A.3 (Pa.), November 17, 1992 (NO. 91-3723)</t>
  </si>
  <si>
    <t xml:space="preserve">Quinn v. Stone, </t>
  </si>
  <si>
    <t>978 F.2d 126, 1992 WL 315737, 121 A.L.R. Fed. 745, C.A.3 (Pa.), November 04, 1992 (NO. 91-5806)</t>
  </si>
  <si>
    <t>978 F.2d 74, 1992 WL 311451, C.A.3 (Pa.), October 30, 1992 (NO. 90-1662)</t>
  </si>
  <si>
    <t xml:space="preserve">International Raw Materials, Ltd. v. Stauffer Chemical Co., </t>
  </si>
  <si>
    <t>978 F.2d 1318, 1992 WL 311453, 61 USLW 2285, 1992-2 Trade Cases P 70,016, C.A.3 (Pa.), October 30, 1992 (NO. 91-1511)</t>
  </si>
  <si>
    <t xml:space="preserve">U.S. v. Cruz-Jiminez, </t>
  </si>
  <si>
    <t>977 F.2d 95, 1992 WL 289788, C.A.3 (Pa.), October 19, 1992 (NO. 91-3678)</t>
  </si>
  <si>
    <t xml:space="preserve">In re Lansdale Family Restaurants, Inc., </t>
  </si>
  <si>
    <t>977 F.2d 826, 1992 WL 282062, Bankr. L. Rep. P 74,946, C.A.3 (Pa.), October 16, 1992 (NO. 92-1286)</t>
  </si>
  <si>
    <t xml:space="preserve">Gillette Foods Inc. v. Bayernwald-Fruchteverwertung, GmbH, </t>
  </si>
  <si>
    <t>977 F.2d 809, 1992 WL 281914, 61 USLW 2298, 24 Fed.R.Serv.3d 135, C.A.3 (N.J.), October 15, 1992 (NO. 91-5775)</t>
  </si>
  <si>
    <t xml:space="preserve">Campbell Soup Co. v. ConAgra, Inc., </t>
  </si>
  <si>
    <t>977 F.2d 86, 1992 WL 277337, 24 U.S.P.Q.2d 1537, C.A.3 (N.J.), October 13, 1992 (NO. 91-5997)</t>
  </si>
  <si>
    <t xml:space="preserve">In re School Asbestos Litigation, </t>
  </si>
  <si>
    <t>977 F.2d 764, 1992 WL 266035, 61 USLW 2268, 24 Fed.R.Serv.3d 39, 78 Ed. Law Rep. 234, C.A.3 (Pa.), October 08, 1992 (NO. 91-1887, 91-1917, 91-1943, 91-1981, 91-2105, 92-1014, 92-1053, 92-1084)</t>
  </si>
  <si>
    <t xml:space="preserve">Chem Service, Inc. v. Environmental Monitoring Systems Laboratory-Cincinnati of U.S. E.P.A., </t>
  </si>
  <si>
    <t>816 F.Supp. 328, 1993 WL 63558, E.D.Pa., January 12, 1993 (NO. CIV. A. 92-0989)</t>
  </si>
  <si>
    <t xml:space="preserve">U.S. v. McDonald, </t>
  </si>
  <si>
    <t>991 F.2d 866, 1993 WL 132199, 301 U.S.App.D.C. 157, 82 Ed. Law Rep. 344, C.A.D.C., April 30, 1993 (NO. 92-3047)</t>
  </si>
  <si>
    <t xml:space="preserve">U.S. v. Speenburgh, </t>
  </si>
  <si>
    <t>990 F.2d 72, 1993 WL 101854, C.A.2 (N.Y.), April 06, 1993 (NO. 1226, 92-1716)</t>
  </si>
  <si>
    <t xml:space="preserve">Laird v. McBride, </t>
  </si>
  <si>
    <t>858 F.Supp. 822, 1993 WL 724735, N.D.Ind., September 30, 1993 (NO. 3:93CV0247AS)</t>
  </si>
  <si>
    <t>1992 Term (10/5/1992 - 10/3/1993)</t>
  </si>
  <si>
    <t>549 U.S. 84</t>
  </si>
  <si>
    <t>127 S. Ct. 638</t>
  </si>
  <si>
    <t>166 L. Ed. 2d 494</t>
  </si>
  <si>
    <t>2006 U.S. LEXIS 9586</t>
  </si>
  <si>
    <t>05-669</t>
  </si>
  <si>
    <t>BP AMERICA PRODUCTION COMPANY, SUCCESSOR IN INTEREST TO AMOCO PRODUCTION COMPANY, et al. v. REJANE BURTON, ACTING ASSISTANT SECRETARY, LAND AND MINERALS MANAGEMENT, DEPARTMENT OF THE INTERIOR, et al.</t>
  </si>
  <si>
    <t>549 U.S. 406</t>
  </si>
  <si>
    <t>127 S. Ct. 1173</t>
  </si>
  <si>
    <t>167 L. Ed. 2d 1</t>
  </si>
  <si>
    <t>2007 U.S. LEXIS 2826</t>
  </si>
  <si>
    <t>05-595</t>
  </si>
  <si>
    <t>GLEN WHORTON, DIRECTOR, NEVADA DEPARTMENT OF CORRECTIONS v. MARVIN HOWARD BOCKTING</t>
  </si>
  <si>
    <t>549 U.S. 443</t>
  </si>
  <si>
    <t>127 S. Ct. 1199</t>
  </si>
  <si>
    <t>167 L. Ed. 2d 178</t>
  </si>
  <si>
    <t>2007 U.S. LEXIS 3566</t>
  </si>
  <si>
    <t>05-1429</t>
  </si>
  <si>
    <t>TRAVELERS CASUALTY &amp; SURETY COMPANY OF AMERICA v. PACIFIC GAS AND ELECTRIC COMPANY</t>
  </si>
  <si>
    <t>551 U.S. 1128</t>
  </si>
  <si>
    <t>127 S. Ct. 1586</t>
  </si>
  <si>
    <t>167 L. Ed. 2d 532</t>
  </si>
  <si>
    <t>2007 U.S. LEXIS 4337</t>
  </si>
  <si>
    <t>05-9264</t>
  </si>
  <si>
    <t>ALPHONSO JAMES, JR. v. UNITED STATES</t>
  </si>
  <si>
    <t>550 U.S. 618</t>
  </si>
  <si>
    <t>127 S. Ct. 2162</t>
  </si>
  <si>
    <t>167 L. Ed. 2d 982</t>
  </si>
  <si>
    <t>2007 U.S. LEXIS 6295</t>
  </si>
  <si>
    <t>05-1074</t>
  </si>
  <si>
    <t>LILLY M. LEDBETTER v. THE GOODYEAR TIRE &amp; RUBBER COMPANY, INC.</t>
  </si>
  <si>
    <t>551 U.S. 644</t>
  </si>
  <si>
    <t>127 S. Ct. 2518</t>
  </si>
  <si>
    <t>168 L. Ed. 2d 467</t>
  </si>
  <si>
    <t>2007 U.S. LEXIS 8312</t>
  </si>
  <si>
    <t>06-340</t>
  </si>
  <si>
    <t>NATIONAL ASSOCIATION OF HOME BUILDERS, et al. v. DEFENDERS OF WILDLIFE et al.</t>
  </si>
  <si>
    <t>549 U.S. 270</t>
  </si>
  <si>
    <t>127 S. Ct. 856</t>
  </si>
  <si>
    <t>166 L. Ed. 2d 856</t>
  </si>
  <si>
    <t>2007 U.S. LEXIS 1324</t>
  </si>
  <si>
    <t>05-6551</t>
  </si>
  <si>
    <t>JOHN CUNNINGHAM V.CALIFORNIA</t>
  </si>
  <si>
    <t>549 U.S. 365</t>
  </si>
  <si>
    <t>127 S. Ct. 1105</t>
  </si>
  <si>
    <t>166 L. Ed. 2d 956</t>
  </si>
  <si>
    <t>2007 U.S. LEXIS 2651</t>
  </si>
  <si>
    <t>05-996</t>
  </si>
  <si>
    <t>ROBERT LOUIS MARRAMA v. CITIZENS BANK OF MASSACHUSETTS, et al.</t>
  </si>
  <si>
    <t>550 U.S. 297</t>
  </si>
  <si>
    <t>127 S. Ct. 1686</t>
  </si>
  <si>
    <t>167 L. Ed. 2d 632</t>
  </si>
  <si>
    <t>2007 U.S. LEXIS 4537</t>
  </si>
  <si>
    <t>05-11304</t>
  </si>
  <si>
    <t>LAROYCE LATHAIR SMITH v. TEXAS</t>
  </si>
  <si>
    <t>550 U.S. 330</t>
  </si>
  <si>
    <t>127 S. Ct. 1786</t>
  </si>
  <si>
    <t>167 L. Ed. 2d 655</t>
  </si>
  <si>
    <t>2007 U.S. LEXIS 4746</t>
  </si>
  <si>
    <t>05-1345</t>
  </si>
  <si>
    <t>UNITED HAULERS ASSOCIATION, INC., et al. v. ONEIDA-HERKIMER SOLID WASTE MANAGEMENT AUTHORITY, et al.</t>
  </si>
  <si>
    <t>549 U.S. 158</t>
  </si>
  <si>
    <t>127 S. Ct. 799</t>
  </si>
  <si>
    <t>166 L. Ed. 2d 638</t>
  </si>
  <si>
    <t>2007 U.S. LEXIS 1006</t>
  </si>
  <si>
    <t>05-746</t>
  </si>
  <si>
    <t>NORFOLK SOUTHERN RAILWAY COMPANY v. TIMOTHY SORRELL</t>
  </si>
  <si>
    <t>551 U.S. 393</t>
  </si>
  <si>
    <t>127 S. Ct. 2618</t>
  </si>
  <si>
    <t>168 L. Ed. 2d 290</t>
  </si>
  <si>
    <t>2007 U.S. LEXIS 8514</t>
  </si>
  <si>
    <t>06-278</t>
  </si>
  <si>
    <t>DEBORAH MORSE, et al. v. JOSEPH FREDERICK</t>
  </si>
  <si>
    <t>551 U.S. 449</t>
  </si>
  <si>
    <t>127 S. Ct. 2652</t>
  </si>
  <si>
    <t>168 L. Ed. 2d 329</t>
  </si>
  <si>
    <t>2007 U.S. LEXIS 8515</t>
  </si>
  <si>
    <t>06-969</t>
  </si>
  <si>
    <t>FEDERAL ELECTION COMMISSION v. WISCONSIN RIGHT TO LIFE, INC.</t>
  </si>
  <si>
    <t>551 U.S. 308</t>
  </si>
  <si>
    <t>127 S. Ct. 2499</t>
  </si>
  <si>
    <t>168 L. Ed. 2d 179</t>
  </si>
  <si>
    <t>2007 U.S. LEXIS 8270</t>
  </si>
  <si>
    <t>06-484</t>
  </si>
  <si>
    <t>TELLABS, INC., et al. v. MAKOR ISSUES &amp; RIGHTS, LTD., et al.</t>
  </si>
  <si>
    <t>550 U.S. 437</t>
  </si>
  <si>
    <t>127 S. Ct. 1746</t>
  </si>
  <si>
    <t>167 L. Ed. 2d 737</t>
  </si>
  <si>
    <t>2007 U.S. LEXIS 4744</t>
  </si>
  <si>
    <t>05-1056</t>
  </si>
  <si>
    <t>MICROSOFT CORPORATION v. AT&amp;T CORP.</t>
  </si>
  <si>
    <t>551 U.S. 587</t>
  </si>
  <si>
    <t>127 S. Ct. 2553</t>
  </si>
  <si>
    <t>168 L. Ed. 2d 424</t>
  </si>
  <si>
    <t>2007 U.S. LEXIS 8512</t>
  </si>
  <si>
    <t>06-157</t>
  </si>
  <si>
    <t>JAY F. HEIN, DIRECTOR, WHITE HOUSE OFFICE OF FAITH-BASED AND COMMUNITY INITIATIVES, et al. v. FREEDOM FROM RELIGION FOUNDATION, INC., et al.</t>
  </si>
  <si>
    <t>549 U.S. 1158</t>
  </si>
  <si>
    <t>127 S. Ct. 469</t>
  </si>
  <si>
    <t>166 L. Ed. 2d 334</t>
  </si>
  <si>
    <t>2006 U.S. LEXIS 8522</t>
  </si>
  <si>
    <t>05-493</t>
  </si>
  <si>
    <t>ROBERT L. AYERS, JR., ACTING WARDEN v. FERNANDO BELMONTES</t>
  </si>
  <si>
    <t>549 U.S. 47</t>
  </si>
  <si>
    <t>127 S. Ct. 625</t>
  </si>
  <si>
    <t>166 L. Ed. 2d 462</t>
  </si>
  <si>
    <t>2006 U.S. LEXIS 9442</t>
  </si>
  <si>
    <t>05-547</t>
  </si>
  <si>
    <t>JOSE ANTONIO LOPEZ v. ALBERTO R. GONZALES, ATTORNEY GENERAL</t>
  </si>
  <si>
    <t>549 U.S. 70</t>
  </si>
  <si>
    <t>127 S. Ct. 649</t>
  </si>
  <si>
    <t>166 L. Ed. 2d 482</t>
  </si>
  <si>
    <t>2006 U.S. LEXIS 9587</t>
  </si>
  <si>
    <t>05-785</t>
  </si>
  <si>
    <t>THOMAS L. CAREY, WARDEN v. MATHEW MUSLADIN</t>
  </si>
  <si>
    <t>549 U.S. 102</t>
  </si>
  <si>
    <t>127 S. Ct. 782</t>
  </si>
  <si>
    <t>166 L. Ed. 2d 591</t>
  </si>
  <si>
    <t>2007 U.S. LEXIS 1004</t>
  </si>
  <si>
    <t>05-998</t>
  </si>
  <si>
    <t>UNITED STATES v. JUAN RESENDIZ-PONCE</t>
  </si>
  <si>
    <t>549 U.S. 118</t>
  </si>
  <si>
    <t>127 S. Ct. 764</t>
  </si>
  <si>
    <t>166 L. Ed. 2d 604</t>
  </si>
  <si>
    <t>2007 U.S. LEXIS 1003</t>
  </si>
  <si>
    <t>05-608</t>
  </si>
  <si>
    <t>MEDIMMUNE, INC. v. GENENTECH, INC., et al.</t>
  </si>
  <si>
    <t>549 U.S. 183</t>
  </si>
  <si>
    <t>127 S. Ct. 815</t>
  </si>
  <si>
    <t>166 L. Ed. 2d 683</t>
  </si>
  <si>
    <t>2007 U.S. LEXIS 1153</t>
  </si>
  <si>
    <t>05-1629</t>
  </si>
  <si>
    <t>ALBERTO R. GONZALES, ATTORNEY GENERAL v. LUIS ALEXANDER DUENAS-ALVAREZ</t>
  </si>
  <si>
    <t>549 U.S. 199</t>
  </si>
  <si>
    <t>127 S. Ct. 910</t>
  </si>
  <si>
    <t>166 L. Ed. 2d 798</t>
  </si>
  <si>
    <t>2007 U.S. LEXIS 1325</t>
  </si>
  <si>
    <t>05-7058</t>
  </si>
  <si>
    <t>LORENZO L. JONES V.BARBARA BOCK, WARDEN, et al.</t>
  </si>
  <si>
    <t>549 U.S. 225</t>
  </si>
  <si>
    <t>127 S. Ct. 881</t>
  </si>
  <si>
    <t>166 L. Ed. 2d 819</t>
  </si>
  <si>
    <t>2007 U.S. LEXIS 1323</t>
  </si>
  <si>
    <t>05-593</t>
  </si>
  <si>
    <t>PAT OSBORN v. BARRY HALEY, et al.</t>
  </si>
  <si>
    <t>549 U.S. 312</t>
  </si>
  <si>
    <t>127 S. Ct. 1069</t>
  </si>
  <si>
    <t>166 L. Ed. 2d 911</t>
  </si>
  <si>
    <t>2007 U.S. LEXIS 1333</t>
  </si>
  <si>
    <t>05-381</t>
  </si>
  <si>
    <t>WEYERHAEUSER COMPANY V.ROSS-SIMMONS HARDWOOD LUMBER COMPANY, INC.</t>
  </si>
  <si>
    <t>549 U.S. 327</t>
  </si>
  <si>
    <t>127 S. Ct. 1079</t>
  </si>
  <si>
    <t>166 L. Ed. 2d 924</t>
  </si>
  <si>
    <t>2007 U.S. LEXIS 1334</t>
  </si>
  <si>
    <t>05-8820</t>
  </si>
  <si>
    <t>GARY LAWRENCE v. FLORIDA</t>
  </si>
  <si>
    <t>549 U.S. 346</t>
  </si>
  <si>
    <t>127 S. Ct. 1057</t>
  </si>
  <si>
    <t>166 L. Ed. 2d 940</t>
  </si>
  <si>
    <t>2007 U.S. LEXIS 1332</t>
  </si>
  <si>
    <t>05-1256</t>
  </si>
  <si>
    <t>PHILIP MORRIS USA v. MAYOLA WILLIAMS, PERSONAL REPRESENTATIVE OF THE ESTATE OF JESSE D. WILLIAMS, DECEASED</t>
  </si>
  <si>
    <t>549 U.S. 1362</t>
  </si>
  <si>
    <t>127 S. Ct. 1091</t>
  </si>
  <si>
    <t>166 L. Ed. 2d 973</t>
  </si>
  <si>
    <t>2007 U.S. LEXIS 2650</t>
  </si>
  <si>
    <t>05-1240</t>
  </si>
  <si>
    <t>ANDRE WALLACE v. KRISTEN KATO et al.</t>
  </si>
  <si>
    <t>549 U.S. 422</t>
  </si>
  <si>
    <t>127 S. Ct. 1184</t>
  </si>
  <si>
    <t>167 L. Ed. 2d 15</t>
  </si>
  <si>
    <t>2007 U.S. LEXIS 2828</t>
  </si>
  <si>
    <t>06-102</t>
  </si>
  <si>
    <t>SINOCHEM INTERNATIONAL CO., LTD. v. MALAYSIA INTERNATIONAL SHIPPING CORPORATION</t>
  </si>
  <si>
    <t>549 U.S. 457</t>
  </si>
  <si>
    <t>127 S. Ct. 1397</t>
  </si>
  <si>
    <t>167 L. Ed. 2d 190</t>
  </si>
  <si>
    <t>2007 U.S. LEXIS 3778</t>
  </si>
  <si>
    <t>05-1272</t>
  </si>
  <si>
    <t>ROCKWELL INTERNATIONAL CORP., et al. v. UNITED STATES et al.</t>
  </si>
  <si>
    <t>549 U.S. 483</t>
  </si>
  <si>
    <t>127 S. Ct. 1413</t>
  </si>
  <si>
    <t>167 L. Ed. 2d 212</t>
  </si>
  <si>
    <t>2007 U.S. LEXIS 3777</t>
  </si>
  <si>
    <t>06-116</t>
  </si>
  <si>
    <t>ALICIA G. LIMTIACO, ATTORNEY GENERAL OF GUAM v. FELIX P. CAMACHO, GOVERNOR OF GUAM</t>
  </si>
  <si>
    <t>549 U.S. 497</t>
  </si>
  <si>
    <t>127 S. Ct. 1438</t>
  </si>
  <si>
    <t>167 L. Ed. 2d 248</t>
  </si>
  <si>
    <t>2007 U.S. LEXIS 3785</t>
  </si>
  <si>
    <t>05-1120</t>
  </si>
  <si>
    <t>MASSACHUSETTS, et al. v. ENVIRONMENTAL PROTECTION AGENCY et al.</t>
  </si>
  <si>
    <t>549 U.S. 561</t>
  </si>
  <si>
    <t>127 S. Ct. 1423</t>
  </si>
  <si>
    <t>167 L. Ed. 2d 295</t>
  </si>
  <si>
    <t>2007 U.S. LEXIS 3784</t>
  </si>
  <si>
    <t>05-848</t>
  </si>
  <si>
    <t>ENVIRONMENTAL DEFENSE, et al. v. DUKE ENERGY CORPORATION, et al.</t>
  </si>
  <si>
    <t>550 U.S. 1</t>
  </si>
  <si>
    <t>127 S. Ct. 1559</t>
  </si>
  <si>
    <t>167 L. Ed. 2d 389</t>
  </si>
  <si>
    <t>2007 U.S. LEXIS 4336</t>
  </si>
  <si>
    <t>05-1342</t>
  </si>
  <si>
    <t>LINDA A. WATTERS, COMMISSIONER, MICHIGAN OFFICE OF INSURANCE AND FINANCIAL SERVICES v. WACHOVIA BANK, N. A., et al.</t>
  </si>
  <si>
    <t>550 U.S. 45</t>
  </si>
  <si>
    <t>127 S. Ct. 1513</t>
  </si>
  <si>
    <t>167 L. Ed. 2d 422</t>
  </si>
  <si>
    <t>2007 U.S. LEXIS 4334</t>
  </si>
  <si>
    <t>05-705</t>
  </si>
  <si>
    <t>GLOBAL CROSSING TELECOMMUNICATIONS, INC. v. METROPHONES TELECOMMUNICATIONS, INC.</t>
  </si>
  <si>
    <t>551 U.S. 1110</t>
  </si>
  <si>
    <t>127 S. Ct. 1534</t>
  </si>
  <si>
    <t>167 L. Ed. 2d 449</t>
  </si>
  <si>
    <t>2007 U.S. LEXIS 4335</t>
  </si>
  <si>
    <t>05-1508</t>
  </si>
  <si>
    <t>ZUNI PUBLIC SCHOOL DISTRICT NO. 89, et al. v. DEPARTMENT OF EDUCATION, et al.</t>
  </si>
  <si>
    <t>550 U.S. 124</t>
  </si>
  <si>
    <t>127 S. Ct. 1610</t>
  </si>
  <si>
    <t>167 L. Ed. 2d 480</t>
  </si>
  <si>
    <t>2007 U.S. LEXIS 4338</t>
  </si>
  <si>
    <t>05-380</t>
  </si>
  <si>
    <t>ALBERTO R. GONZALES, ATTORNEY GENERAL v. LEROY CARHART, et al.</t>
  </si>
  <si>
    <t>550 U.S. 233</t>
  </si>
  <si>
    <t>127 S. Ct. 1654</t>
  </si>
  <si>
    <t>167 L. Ed. 2d 585</t>
  </si>
  <si>
    <t>2007 U.S. LEXIS 4536</t>
  </si>
  <si>
    <t>05-11284</t>
  </si>
  <si>
    <t>JALIL ABDUL-KABIR, FKA TED CALVIN COLE v. NATHANIEL QUARTERMAN, DIRECTOR, TEXAS DEPARTMENT OF CRIMINAL JUSTICE, CORRECTIONAL INSTITUTIONS DIVISION</t>
  </si>
  <si>
    <t>550 U.S. 286</t>
  </si>
  <si>
    <t>127 S. Ct. 1706</t>
  </si>
  <si>
    <t>167 L. Ed. 2d 622</t>
  </si>
  <si>
    <t>2007 U.S. LEXIS 4538</t>
  </si>
  <si>
    <t>05-11287</t>
  </si>
  <si>
    <t>BRENT RAY BREWER v. NATHANIEL QUARTERMAN, DIRECTOR, TEXAS DEPARTMENT OF CRIMINAL JUSTICE, CORRECTIONAL INSTITUTIONS DIVISION</t>
  </si>
  <si>
    <t>550 U.S. 372</t>
  </si>
  <si>
    <t>127 S. Ct. 1769</t>
  </si>
  <si>
    <t>167 L. Ed. 2d 686</t>
  </si>
  <si>
    <t>2007 U.S. LEXIS 4748</t>
  </si>
  <si>
    <t>05-1631</t>
  </si>
  <si>
    <t>TIMOTHY SCOTT v. VICTOR HARRIS</t>
  </si>
  <si>
    <t>550 U.S. 398</t>
  </si>
  <si>
    <t>127 S. Ct. 1727</t>
  </si>
  <si>
    <t>167 L. Ed. 2d 705</t>
  </si>
  <si>
    <t>2007 U.S. LEXIS 4745</t>
  </si>
  <si>
    <t>04-1350</t>
  </si>
  <si>
    <t>KSR INTERNATIONAL CO. v. TELEFLEX INC. et al.</t>
  </si>
  <si>
    <t>550 U.S. 429</t>
  </si>
  <si>
    <t>127 S. Ct. 1763</t>
  </si>
  <si>
    <t>167 L. Ed. 2d 729</t>
  </si>
  <si>
    <t>2007 U.S. LEXIS 4747</t>
  </si>
  <si>
    <t>05-1541</t>
  </si>
  <si>
    <t>EC TERM OF YEARS TRUST v. UNITED STATES</t>
  </si>
  <si>
    <t>550 U.S. 465</t>
  </si>
  <si>
    <t>127 S. Ct. 1933</t>
  </si>
  <si>
    <t>167 L. Ed. 2d 836</t>
  </si>
  <si>
    <t>2007 U.S. LEXIS 5496</t>
  </si>
  <si>
    <t>05-1575</t>
  </si>
  <si>
    <t>DORA B. SCHRIRO, DIRECTOR, ARIZONA DEPARTMENT OF CORRECTIONS v. JEFFREY TIMOTHY LANDRIGAN, AKA BILLY PATRICK WAYNE HILL</t>
  </si>
  <si>
    <t>550 U.S. 501</t>
  </si>
  <si>
    <t>127 S. Ct. 2011</t>
  </si>
  <si>
    <t>167 L. Ed. 2d 888</t>
  </si>
  <si>
    <t>2007 U.S. LEXIS 6081</t>
  </si>
  <si>
    <t>06-376</t>
  </si>
  <si>
    <t>JOHN F. HINCK, ET UX. v. UNITED STATES</t>
  </si>
  <si>
    <t>550 U.S. 511</t>
  </si>
  <si>
    <t>127 S. Ct. 2018</t>
  </si>
  <si>
    <t>167 L. Ed. 2d 898</t>
  </si>
  <si>
    <t>2007 U.S. LEXIS 5903</t>
  </si>
  <si>
    <t>06-618</t>
  </si>
  <si>
    <t>OFFICE OF SENATOR MARK DAYTON v. BRAD HANSON</t>
  </si>
  <si>
    <t>550 U.S. 516</t>
  </si>
  <si>
    <t>127 S. Ct. 1994</t>
  </si>
  <si>
    <t>167 L. Ed. 2d 904</t>
  </si>
  <si>
    <t>2007 U.S. LEXIS 5902</t>
  </si>
  <si>
    <t>05-983</t>
  </si>
  <si>
    <t>JACOB WINKELMAN, A MINOR, BY AND THROUGH HIS PARENTS AND LEGAL GUARDIANS, JEFF AND SANDEE WINKELMAN, et al. v. PARMA CITY SCHOOL DISTRICT</t>
  </si>
  <si>
    <t>550 U.S. 544</t>
  </si>
  <si>
    <t>127 S. Ct. 1955</t>
  </si>
  <si>
    <t>167 L. Ed. 2d 929</t>
  </si>
  <si>
    <t>2007 U.S. LEXIS 5901</t>
  </si>
  <si>
    <t>05-1126</t>
  </si>
  <si>
    <t>BELL ATLANTIC CORPORATION, et al. V.WILLIAM TWOMBLY, et al.</t>
  </si>
  <si>
    <t>551 U.S. 1</t>
  </si>
  <si>
    <t>127 S. Ct. 2218</t>
  </si>
  <si>
    <t>167 L. Ed. 2d 1014</t>
  </si>
  <si>
    <t>2007 U.S. LEXIS 6965</t>
  </si>
  <si>
    <t>06-413</t>
  </si>
  <si>
    <t>JEFFREY UTTECHT, SUPERINTENDENT, WASHINGTON STATE PENITENTIARY v. CAL COBURN BROWN</t>
  </si>
  <si>
    <t>551 U.S. 47</t>
  </si>
  <si>
    <t>127 S. Ct. 2201</t>
  </si>
  <si>
    <t>167 L. Ed. 2d 1045</t>
  </si>
  <si>
    <t>2007 U.S. LEXIS 6963</t>
  </si>
  <si>
    <t>06-84</t>
  </si>
  <si>
    <t>SAFECO INSURANCE COMPANY OF AMERICA, et al. v. CHARLES BURR, et al.</t>
  </si>
  <si>
    <t>551 U.S. 74</t>
  </si>
  <si>
    <t>127 S. Ct. 2188</t>
  </si>
  <si>
    <t>167 L. Ed. 2d 1069</t>
  </si>
  <si>
    <t>2007 U.S. LEXIS 6962</t>
  </si>
  <si>
    <t>06-531</t>
  </si>
  <si>
    <t>MICHAEL W. SOLE, SECRETARY, FLORIDA DEPARTMENT OF ENVIRONMENTAL PROTECTION, et al. v. T. A. WYNER, et al.</t>
  </si>
  <si>
    <t>551 U.S. 96</t>
  </si>
  <si>
    <t>127 S. Ct. 2310</t>
  </si>
  <si>
    <t>168 L. Ed. 2d 1</t>
  </si>
  <si>
    <t>2007 U.S. LEXIS 7716</t>
  </si>
  <si>
    <t>05-1448</t>
  </si>
  <si>
    <t>JEFFREY H. BECK, LIQUIDATING TRUSTEE OF THE ESTATES OF CROWN VANTAGE, INC. AND CROWN PAPER COMPANY v. PACE INTERNATIONAL UNION et al.</t>
  </si>
  <si>
    <t>551 U.S. 112</t>
  </si>
  <si>
    <t>127 S. Ct. 2321</t>
  </si>
  <si>
    <t>168 L. Ed. 2d 16</t>
  </si>
  <si>
    <t>2007 U.S. LEXIS 7715</t>
  </si>
  <si>
    <t>06-5247</t>
  </si>
  <si>
    <t>JOHN FRANCIS FRY v. CHERYL K. PLILER, WARDEN</t>
  </si>
  <si>
    <t>551 U.S. 128</t>
  </si>
  <si>
    <t>127 S. Ct. 2331</t>
  </si>
  <si>
    <t>168 L. Ed. 2d 28</t>
  </si>
  <si>
    <t>2007 U.S. LEXIS 7718</t>
  </si>
  <si>
    <t>06-562</t>
  </si>
  <si>
    <t>UNITED STATES v. ATLANTIC RESEARCH CORPORATION</t>
  </si>
  <si>
    <t>551 U.S. 142</t>
  </si>
  <si>
    <t>127 S. Ct. 2301</t>
  </si>
  <si>
    <t>168 L. Ed. 2d 42</t>
  </si>
  <si>
    <t>2007 U.S. LEXIS 7514</t>
  </si>
  <si>
    <t>05-1284</t>
  </si>
  <si>
    <t>LISA WATSON, et al. v. PHILIP MORRIS COMPANIES, INC., et al.</t>
  </si>
  <si>
    <t>551 U.S. 158</t>
  </si>
  <si>
    <t>127 S. Ct. 2339</t>
  </si>
  <si>
    <t>168 L. Ed. 2d 54</t>
  </si>
  <si>
    <t>2007 U.S. LEXIS 7717</t>
  </si>
  <si>
    <t>06-593</t>
  </si>
  <si>
    <t>LONG ISLAND CARE AT HOME, LTD., et al. v. EVELYN COKE</t>
  </si>
  <si>
    <t>551 U.S. 177</t>
  </si>
  <si>
    <t>127 S. Ct. 2372</t>
  </si>
  <si>
    <t>168 L. Ed. 2d 71</t>
  </si>
  <si>
    <t>2007 U.S. LEXIS 7722</t>
  </si>
  <si>
    <t>05-1589</t>
  </si>
  <si>
    <t>GARY DAVENPORT, et al. v. WASHINGTON EDUCATION ASSOCIATION</t>
  </si>
  <si>
    <t>551 U.S. 193</t>
  </si>
  <si>
    <t>127 S. Ct. 2352</t>
  </si>
  <si>
    <t>168 L. Ed. 2d 85</t>
  </si>
  <si>
    <t>2007 U.S. LEXIS 7720</t>
  </si>
  <si>
    <t>06-134</t>
  </si>
  <si>
    <t>THE PERMANENT MISSION OF INDIA TO THE UNITED NATIONS, et al. v. CITY OF NEW YORK, NEW YORK</t>
  </si>
  <si>
    <t>551 U.S. 205</t>
  </si>
  <si>
    <t>127 S. Ct. 2360</t>
  </si>
  <si>
    <t>168 L. Ed. 2d 96</t>
  </si>
  <si>
    <t>2007 U.S. LEXIS 7721</t>
  </si>
  <si>
    <t>06-5306</t>
  </si>
  <si>
    <t>KEITH BOWLES v. HARRY RUSSELL, WARDEN</t>
  </si>
  <si>
    <t>551 U.S. 224</t>
  </si>
  <si>
    <t>127 S. Ct. 2411</t>
  </si>
  <si>
    <t>168 L. Ed. 2d 112</t>
  </si>
  <si>
    <t>2007 U.S. LEXIS 7898</t>
  </si>
  <si>
    <t>05-85</t>
  </si>
  <si>
    <t>POWEREX CORP. v. RELIANT ENERGY SERVICES, INC., et al.</t>
  </si>
  <si>
    <t>551 U.S. 249</t>
  </si>
  <si>
    <t>127 S. Ct. 2400</t>
  </si>
  <si>
    <t>168 L. Ed. 2d 132</t>
  </si>
  <si>
    <t>2007 U.S. LEXIS 7897</t>
  </si>
  <si>
    <t>06-8120</t>
  </si>
  <si>
    <t>BRUCE EDWARD BRENDLIN v. CALIFORNIA</t>
  </si>
  <si>
    <t>551 U.S. 291</t>
  </si>
  <si>
    <t>127 S. Ct. 2489</t>
  </si>
  <si>
    <t>168 L. Ed. 2d 166</t>
  </si>
  <si>
    <t>2007 U.S. LEXIS 8271</t>
  </si>
  <si>
    <t>06-427</t>
  </si>
  <si>
    <t>TENNESSEE SECONDARY SCHOOL ATHLETIC ASSOCIATION v. BRENTWOOD ACADEMY</t>
  </si>
  <si>
    <t>551 U.S. 338</t>
  </si>
  <si>
    <t>127 S. Ct. 2456</t>
  </si>
  <si>
    <t>168 L. Ed. 2d 203</t>
  </si>
  <si>
    <t>2007 U.S. LEXIS 8269</t>
  </si>
  <si>
    <t>06-5754</t>
  </si>
  <si>
    <t>VICTOR A. RITA v. UNITED STATES</t>
  </si>
  <si>
    <t>551 U.S. 537</t>
  </si>
  <si>
    <t>127 S. Ct. 2588</t>
  </si>
  <si>
    <t>168 L. Ed. 2d 389</t>
  </si>
  <si>
    <t>2007 U.S. LEXIS 8513</t>
  </si>
  <si>
    <t>06-219</t>
  </si>
  <si>
    <t>CHARLES WILKIE, et al. v. HARVEY FRANK ROBBINS</t>
  </si>
  <si>
    <t>551 U.S. 701</t>
  </si>
  <si>
    <t>127 S. Ct. 2738</t>
  </si>
  <si>
    <t>168 L. Ed. 2d 508</t>
  </si>
  <si>
    <t>2007 U.S. LEXIS 8670</t>
  </si>
  <si>
    <t>05-908</t>
  </si>
  <si>
    <t>PARENTS INVOLVED IN COMMUNITY SCHOOLS v. SEATTLE SCHOOL DISTRICT NO. 1 et al.</t>
  </si>
  <si>
    <t>551 U.S. 877</t>
  </si>
  <si>
    <t>127 S. Ct. 2705</t>
  </si>
  <si>
    <t>168 L. Ed. 2d 623</t>
  </si>
  <si>
    <t>2007 U.S. LEXIS 8668</t>
  </si>
  <si>
    <t>06-480</t>
  </si>
  <si>
    <t>LEEGIN CREATIVE LEATHER PRODUCTS, INC. v. PSKS, INC., DBA KAY'S KLOSET . . . KAY'S SHOES</t>
  </si>
  <si>
    <t>551 U.S. 930</t>
  </si>
  <si>
    <t>127 S. Ct. 2842</t>
  </si>
  <si>
    <t>168 L. Ed. 2d 662</t>
  </si>
  <si>
    <t>2007 U.S. LEXIS 8667</t>
  </si>
  <si>
    <t>06-6407</t>
  </si>
  <si>
    <t>SCOTT LOUIS PANETTI v. NATHANIEL QUARTERMAN, DIRECTOR, TEXAS DEPARTMENT OF CRIMINAL JUSTICE, CORRECTIONAL INSTITUTIONS DIVISION</t>
  </si>
  <si>
    <t>550 U.S. 598</t>
  </si>
  <si>
    <t>127 S. Ct. 2022</t>
  </si>
  <si>
    <t>167 L. Ed. 2d 966</t>
  </si>
  <si>
    <t>2007 U.S. LEXIS 6082</t>
  </si>
  <si>
    <t>06-313</t>
  </si>
  <si>
    <t>DON ROPER, SUPERINTENDENT, POTOSI CORRECTIONAL CENTER v. WILLIAM WEAVER</t>
  </si>
  <si>
    <t>551 U.S. 264</t>
  </si>
  <si>
    <t>127 S. Ct. 2383</t>
  </si>
  <si>
    <t>168 L. Ed. 2d 145</t>
  </si>
  <si>
    <t>2007 U.S. LEXIS 7724</t>
  </si>
  <si>
    <t>05-1157</t>
  </si>
  <si>
    <t>CREDIT SUISSE SECURITIES (USA) LLC, FKA CREDIT SUISSE FIRST BOSTON LLC, et al. v. GLEN BILLING et al.</t>
  </si>
  <si>
    <t>549 U.S. 1</t>
  </si>
  <si>
    <t>127 S. Ct. 5</t>
  </si>
  <si>
    <t>166 L. Ed. 2d 1</t>
  </si>
  <si>
    <t>2006 U.S. LEXIS 8000</t>
  </si>
  <si>
    <t>06-532</t>
  </si>
  <si>
    <t>HELEN PURCELL, MARICOPA COUNTY RECORDER, et al. v. MARIA M. GONZALEZ et al.</t>
  </si>
  <si>
    <t>549 U.S. 437</t>
  </si>
  <si>
    <t>127 S. Ct. 1194</t>
  </si>
  <si>
    <t>167 L. Ed. 2d 29</t>
  </si>
  <si>
    <t>2007 U.S. LEXIS 2827</t>
  </si>
  <si>
    <t>06-641</t>
  </si>
  <si>
    <t>KEITH LANCE, et al. v. MIKE COFFMAN, COLORADO SECRETARY OF STATE</t>
  </si>
  <si>
    <t>550 U.S. 609</t>
  </si>
  <si>
    <t>127 S. Ct. 1989</t>
  </si>
  <si>
    <t>167 L. Ed. 2d 974</t>
  </si>
  <si>
    <t>2007 U.S. LEXIS 5900</t>
  </si>
  <si>
    <t>06-605</t>
  </si>
  <si>
    <t>LOS ANGELES COUNTY, CALIFORNIA, et al. v. MAX RETTELE, et al.</t>
  </si>
  <si>
    <t>551 U.S. 89</t>
  </si>
  <si>
    <t>127 S. Ct. 2197</t>
  </si>
  <si>
    <t>167 L. Ed. 2d 1081</t>
  </si>
  <si>
    <t>2007 U.S. LEXIS 6814</t>
  </si>
  <si>
    <t>06-7317</t>
  </si>
  <si>
    <t>WILLIAM ERICKSON v. BARRY J. PARDUS et al.</t>
  </si>
  <si>
    <t>549 U.S. 69</t>
  </si>
  <si>
    <t>166 L. Ed. 2d 481</t>
  </si>
  <si>
    <t>2006 U.S. LEXIS 9441</t>
  </si>
  <si>
    <t>05-7664</t>
  </si>
  <si>
    <t>REYMUNDO TOLEDO-FLORES v. UNITED STATES</t>
  </si>
  <si>
    <t>549 U.S. 1261</t>
  </si>
  <si>
    <t>127 S. Ct. 793</t>
  </si>
  <si>
    <t>166 L. Ed. 2d 628</t>
  </si>
  <si>
    <t>2007 U.S. LEXIS 1005</t>
  </si>
  <si>
    <t>05-9222</t>
  </si>
  <si>
    <t>LONNIE LEE BURTON v. BELINDA STEWART, SUPERINTENDENT, STAFFORD CREEK CORRECTIONS CENTER</t>
  </si>
  <si>
    <t>551 U.S. 87</t>
  </si>
  <si>
    <t>127 S. Ct. 2245</t>
  </si>
  <si>
    <t>167 L. Ed. 2d 1080</t>
  </si>
  <si>
    <t>2007 U.S. LEXIS 6964</t>
  </si>
  <si>
    <t>06-5618</t>
  </si>
  <si>
    <t>MARIO CLAIBORNE v. UNITED STATES</t>
  </si>
  <si>
    <t xml:space="preserve">Morse v. Frederick, </t>
  </si>
  <si>
    <t>551 U.S. 393, 127 S.Ct. 2618, 2007 WL 1804317, 168 L.Ed.2d 290, 75 USLW 4487, 220 Ed. Law Rep. 50, 07 Cal. Daily Op. Serv. 7248, 2007 Daily Journal D.A.R. 9448, 20 Fla. L. Weekly Fed. S 431, U.S., June 25, 2007 (NO. 06-278)</t>
  </si>
  <si>
    <t>M, C</t>
  </si>
  <si>
    <t xml:space="preserve">Rita v. U.S., </t>
  </si>
  <si>
    <t>551 U.S. 338, 127 S.Ct. 2456, 2007 WL 1772146, 168 L.Ed.2d 203, 75 USLW 4471, 07 Cal. Daily Op. Serv. 7125, 2007 Daily Journal D.A.R. 9301, 20 Fla. L. Weekly Fed. S 381, U.S., June 21, 2007 (NO. 06-5754)</t>
  </si>
  <si>
    <t xml:space="preserve">Microsoft Corp. v. AT &amp; T Corp., </t>
  </si>
  <si>
    <t>550 U.S. 437, 127 S.Ct. 1746, 2007 WL 1237838, 167 L.Ed.2d 737, 75 USLW 4307, 82 U.S.P.Q.2d 1400, 07 Cal. Daily Op. Serv. 4660, 20 Fla. L. Weekly Fed. S 232, 33 A.L.R. Fed. 2d 745, U.S., April 30, 2007 (NO. 05-1056)</t>
  </si>
  <si>
    <t xml:space="preserve">Rockwell Intern. Corp. v. U.S., </t>
  </si>
  <si>
    <t>549 U.S. 457, 127 S.Ct. 1397, 2007 WL 895257, 167 L.Ed.2d 190, 75 USLW 4138, 25 IER Cases 1377, 07 Cal. Daily Op. Serv. 3173, 2007 Daily Journal D.A.R. 4020, 20 Fla. L. Weekly Fed. S 116, U.S., March 27, 2007 (NO. 05-1272)</t>
  </si>
  <si>
    <t xml:space="preserve">Akio Kawashima v. Gonzales, </t>
  </si>
  <si>
    <t>503 F.3d 997, 2007 WL 2702330, 07 Cal. Daily Op. Serv. 11,164, 2007 Daily Journal D.A.R. 14,482, C.A.9, September 18, 2007 (NO. 05-74408, 04-74313)</t>
  </si>
  <si>
    <t>615 F.3d 1043, 2010 WL 3025017, 10 Cal. Daily Op. Serv. 9938, 2010 Daily Journal D.A.R. 12,107, C.A.9, August 04, 2010 (NO. 04-74313, 05-74408)</t>
  </si>
  <si>
    <t xml:space="preserve">U.S. v. Muhammad, </t>
  </si>
  <si>
    <t>502 F.3d 646, 2007 WL 2684816, C.A.7 (Wis.), September 14, 2007 (NO. 05-4717)</t>
  </si>
  <si>
    <t xml:space="preserve">American Federation of Government Employees Local 1 v. Stone, </t>
  </si>
  <si>
    <t>502 F.3d 1027, 2007 WL 2482144, 182 L.R.R.M. (BNA) 2609, 154 Lab.Cas. P 60,489, 07 Cal. Daily Op. Serv. 10,716, 2007 Daily Journal D.A.R. 13,725, C.A.9 (Cal.), September 05, 2007 (NO. 05-15206)</t>
  </si>
  <si>
    <t xml:space="preserve">Cascade Health Solutions v. PeaceHealth, </t>
  </si>
  <si>
    <t>502 F.3d 895, 2007 WL 2473229, 2007-2 Trade Cases P 75,846, 07 Cal. Daily Op. Serv. 10,640, 2007 Daily Journal D.A.R. 13,732, C.A.9 (Or.), September 04, 2007 (NO. 05-36153, 05-35627, 05-36202, 05-35640)</t>
  </si>
  <si>
    <t>515 F.3d 883, 2008 WL 269506, 2008-1 Trade Cases P 76,030, 08 Cal. Daily Op. Serv. 1475, 2008 Daily Journal D.A.R. 1854, C.A.9 (Or.), February 01, 2008 (NO. 05-35627, 05-36202, 05-35640, 05-36153)</t>
  </si>
  <si>
    <t xml:space="preserve">U.S. ex rel. Boothe v. Sun Healthcare Group, Inc., </t>
  </si>
  <si>
    <t>496 F.3d 1169, 2007 WL 2247666, Med &amp; Med GD (CCH) P 302,164, C.A.10 (N.M.), August 07, 2007 (NO. 06-2156)</t>
  </si>
  <si>
    <t xml:space="preserve">Cohen v. JP Morgan Chase &amp; Co., </t>
  </si>
  <si>
    <t>498 F.3d 111, 2007 WL 2231106, C.A.2 (N.Y.), August 06, 2007 (NO. 06 0409 CV)</t>
  </si>
  <si>
    <t xml:space="preserve">Lowery v. Euverard, </t>
  </si>
  <si>
    <t>497 F.3d 584, 2007 WL 2213215, 223 Ed. Law Rep. 575, 2007 Fed.App. 0295P, C.A.6 (Tenn.), August 03, 2007 (NO. 06-6172)</t>
  </si>
  <si>
    <t xml:space="preserve">Higginbotham v. Baxter Intern., Inc., </t>
  </si>
  <si>
    <t>495 F.3d 753, 2007 WL 2142298, Fed. Sec. L. Rep. P 94,479, C.A.7 (Ill.), July 27, 2007 (NO. 06-1312)</t>
  </si>
  <si>
    <t xml:space="preserve">U.S. ex rel. Fowler v. Caremark RX, L.L.C., </t>
  </si>
  <si>
    <t>496 F.3d 730, 2007 WL 2142310, Med &amp; Med GD (CCH) P 302,305, C.A.7 (Ill.), July 27, 2007 (NO. 06-4419)</t>
  </si>
  <si>
    <t xml:space="preserve">Doe v. Tangipahoa Parish School Bd., </t>
  </si>
  <si>
    <t>494 F.3d 494, 2007 WL 2122017, 223 Ed. Law Rep. 72, C.A.5 (La.), July 25, 2007 (NO. 05-30294)</t>
  </si>
  <si>
    <t xml:space="preserve">Phillips v. Audio Active Ltd., </t>
  </si>
  <si>
    <t>494 F.3d 378, 2007 WL 2090202, 83 U.S.P.Q.2d 1489, C.A.2 (N.Y.), July 24, 2007 (NO. 05-7017-CV)</t>
  </si>
  <si>
    <t xml:space="preserve">Thompson v. Glades County Bd. of County Com'rs, </t>
  </si>
  <si>
    <t>493 F.3d 1253, 2007 WL 2106107, 20 Fla. L. Weekly Fed. C 900, C.A.11 (Fla.), July 24, 2007 (NO. 05-10669)</t>
  </si>
  <si>
    <t xml:space="preserve">Shi Liang Lin v. U.S. Dept. of Justice, </t>
  </si>
  <si>
    <t>494 F.3d 296, 2007 WL 2032066, C.A.2, July 16, 2007 (NO. 02-4611AG, 02-4629AG, 03-40837AG)</t>
  </si>
  <si>
    <t xml:space="preserve">Wisniewski v. Board of Educ. of Weedsport Cent. School Dist., </t>
  </si>
  <si>
    <t>494 F.3d 34, 2007 WL 1932264, 223 Ed. Law Rep. 34, C.A.2 (N.Y.), July 05, 2007 (NO. 06-3394-CV)</t>
  </si>
  <si>
    <t xml:space="preserve">Rodriguez v. Chandler, </t>
  </si>
  <si>
    <t>492 F.3d 863, 2007 WL 1932805, C.A.7 (Ill.), July 05, 2007 (NO. 06-3995)</t>
  </si>
  <si>
    <t xml:space="preserve">Koudriachova v. Gonzales, </t>
  </si>
  <si>
    <t>490 F.3d 255, 2007 WL 1815576, C.A.2, June 26, 2007 (NO. 03-4811 (L))</t>
  </si>
  <si>
    <t xml:space="preserve">Belot v. Burge, </t>
  </si>
  <si>
    <t>490 F.3d 201, 2007 WL 1759581, C.A.2 (N.Y.), June 20, 2007 (NO. 05-6875-PR)</t>
  </si>
  <si>
    <t>243 Fed.Appx. 666, 2007 WL 1655748, C.A.3 (N.J.), June 08, 2007 (NO. 07-1454)</t>
  </si>
  <si>
    <t xml:space="preserve">U.S. v. Crawford, </t>
  </si>
  <si>
    <t>487 F.3d 1101, 2007 WL 1610468, C.A.8 (Minn.), June 06, 2007 (NO. 06-3464, 06-3465, 06-3466)</t>
  </si>
  <si>
    <t xml:space="preserve">U.S. v. Ahidley, </t>
  </si>
  <si>
    <t>486 F.3d 1184, 2007 WL 1519873, C.A.10 (N.M.), May 25, 2007 (NO. 06-2056)</t>
  </si>
  <si>
    <t xml:space="preserve">In re Soileau, </t>
  </si>
  <si>
    <t>488 F.3d 302, 2007 WL 1475214, 48 Bankr.Ct.Dec. 68, Bankr. L. Rep. P 80,970, C.A.5 (Tex.), May 22, 2007 (NO. 05-20501)</t>
  </si>
  <si>
    <t xml:space="preserve">U.S. v. Torres-Villalobos, </t>
  </si>
  <si>
    <t>487 F.3d 607, 2007 WL 1342561, C.A.8 (Minn.), May 09, 2007 (NO. 06-1876)</t>
  </si>
  <si>
    <t xml:space="preserve">Staley v. Harris County, Tex., </t>
  </si>
  <si>
    <t>485 F.3d 305, 2007 WL 1191147, C.A.5 (Tex.), April 24, 2007 (NO. 04-20667)</t>
  </si>
  <si>
    <t xml:space="preserve">Wenner v. Sun Life Assur. Co. of Canada, </t>
  </si>
  <si>
    <t>482 F.3d 878, 2007 WL 1080307, 40 Employee Benefits Cas. 2631, C.A.6 (Tenn.), April 12, 2007 (NO. 05-6534, 05-6740)</t>
  </si>
  <si>
    <t xml:space="preserve">U.S. v. Helmstetter, </t>
  </si>
  <si>
    <t>479 F.3d 750, 2007 WL 744634, C.A.10 (Colo.), March 13, 2007 (NO. 06-1045)</t>
  </si>
  <si>
    <t>477 F.3d 978, 2007 WL 528195, 72 Fed. R. Evid. Serv. 602, C.A.8 (Minn.), February 22, 2007 (NO. 06-1876)</t>
  </si>
  <si>
    <t xml:space="preserve">U.S. v. Navarro, </t>
  </si>
  <si>
    <t>476 F.3d 188, 2007 WL 465652, C.A.3 (Pa.), February 14, 2007 (NO. 05-4102)</t>
  </si>
  <si>
    <t xml:space="preserve">U.S. v. Leahy, </t>
  </si>
  <si>
    <t>473 F.3d 401, 2007 WL 121991, C.A.1 (Me.), January 19, 2007 (NO. 05-1670)</t>
  </si>
  <si>
    <t xml:space="preserve">Boumediene v. Bush, </t>
  </si>
  <si>
    <t>476 F.3d 934, 2006 WL 3872820, 375 U.S.App.D.C. 1, C.A.D.C., December 29, 2006 (NO. 05-5062, 05-5063)</t>
  </si>
  <si>
    <t xml:space="preserve">Cassidy v. Chertoff, </t>
  </si>
  <si>
    <t>471 F.3d 67, 2006 WL 3436590, 2006 A.M.C. 2863, C.A.2 (Vt.), November 29, 2006 (NO. 05-1835-CV)</t>
  </si>
  <si>
    <t xml:space="preserve">Armstrong v. Guccione, </t>
  </si>
  <si>
    <t>470 F.3d 89, 2006 WL 3404803, C.A.2 (N.Y.), November 27, 2006 (NO. 04-5448-PR(L), 05-0280-PR(CON))</t>
  </si>
  <si>
    <t xml:space="preserve">Ford v. Wilder, </t>
  </si>
  <si>
    <t>469 F.3d 500, 2006 WL 3375251, 2006 Fed.App. 0432P, C.A.6 (Tenn.), November 22, 2006 (NO. 06-5238)</t>
  </si>
  <si>
    <t xml:space="preserve">U.S. v. Portela, </t>
  </si>
  <si>
    <t>469 F.3d 496, 2006 WL 3359230, 2006 Fed.App. 0430P, C.A.6 (Tenn.), November 21, 2006 (NO. 05-6354)</t>
  </si>
  <si>
    <t xml:space="preserve">New Mexico v. General Elec. Co., </t>
  </si>
  <si>
    <t>467 F.3d 1223, 2006 WL 3072590, 63 ERC 1225, 36 Envtl. L. Rep. 20,219, C.A.10 (N.M.), October 31, 2006 (NO. 04-2191)</t>
  </si>
  <si>
    <t xml:space="preserve">Qing Lin v. Gonzales, </t>
  </si>
  <si>
    <t>201 Fed.Appx. 70, 2006 WL 2990153, C.A.2, October 20, 2006 (NO. 04-0064-AG)</t>
  </si>
  <si>
    <t xml:space="preserve">Howard v. Kernan, </t>
  </si>
  <si>
    <t>Not Reported in F.Supp.2d, 2007 WL 2900164, E.D.Cal., September 28, 2007 (NO. 2:04-CV-0083-JKS-KJM)</t>
  </si>
  <si>
    <t xml:space="preserve">U.S. v. Khadr, </t>
  </si>
  <si>
    <t>717 F.Supp.2d 1215, 2007 WL 7264724, USCMCR, September 24, 2007 (NO. 07-001)</t>
  </si>
  <si>
    <t xml:space="preserve">Johnson v. Quarterman, </t>
  </si>
  <si>
    <t>Not Reported in F.Supp.2d, 2007 WL 2735638, N.D.Tex., September 18, 2007 (NO. 3:03-CV-2606-K)</t>
  </si>
  <si>
    <t xml:space="preserve">Hall v. Norfolk Southern Ry. Co., </t>
  </si>
  <si>
    <t>Not Reported in F.Supp.2d, 2007 WL 2765540, N.D.Ga., September 18, 2007 (NO. CIV.A. 1:06-CV-0607-)</t>
  </si>
  <si>
    <t xml:space="preserve">DePinto v. Bayonne Bd. of Educ., </t>
  </si>
  <si>
    <t>514 F.Supp.2d 633, 2007 WL 2726534, 225 Ed. Law Rep. 896, D.N.J., September 17, 2007 (NO. CIV.A.06-5765(JAG))</t>
  </si>
  <si>
    <t xml:space="preserve">Wampler v. Pennsylvania, Dept. of Labor &amp; Industry, W.C.A.B., </t>
  </si>
  <si>
    <t>508 F.Supp.2d 416, 2007 WL 2701217, M.D.Pa., September 14, 2007 (NO. CIV.A. 1:06-CV-1877)</t>
  </si>
  <si>
    <t xml:space="preserve">Bolger v. District of Columbia, </t>
  </si>
  <si>
    <t>510 F.Supp.2d 86, 2007 WL 2601416, D.D.C., September 11, 2007 (NO. CIV.A.03-0906(JDB))</t>
  </si>
  <si>
    <t>Not Reported in F.Supp.2d, 2007 WL 2687454, D.N.J., September 10, 2007 (NO. CIV.A.95-3794(DRD))</t>
  </si>
  <si>
    <t xml:space="preserve">Fuson v. Tilton, </t>
  </si>
  <si>
    <t>Not Reported in F.Supp.2d, 2007 WL 2701201, S.D.Cal., September 10, 2007 (NO. 06-CV-0424H WMC)</t>
  </si>
  <si>
    <t xml:space="preserve">Darquea v. Jarden Corp., </t>
  </si>
  <si>
    <t>Not Reported in F.Supp.2d, 2007 WL 2584744, S.D.N.Y., September 05, 2007 (NO. 06 CV 0722 (CLB))</t>
  </si>
  <si>
    <t xml:space="preserve">CBS Outdoor Inc. v. New Jersey Transit Corp., </t>
  </si>
  <si>
    <t>Not Reported in F.Supp.2d, 2007 WL 2509633, D.N.J., August 30, 2007 (NO. CIV.A.06-2428HAA)</t>
  </si>
  <si>
    <t xml:space="preserve">Equity in Athletics, Inc. v. Department of Educ., </t>
  </si>
  <si>
    <t>504 F.Supp.2d 88, 2007 WL 2376652, 224 Ed. Law Rep. 707, W.D.Va., August 21, 2007 (NO. 5:07CV00028)</t>
  </si>
  <si>
    <t xml:space="preserve">U.S. v. Batiste, </t>
  </si>
  <si>
    <t>Not Reported in F.Supp.2d, 2007 WL 2412837, S.D.Fla., August 21, 2007 (NO. 06-20373-CR)</t>
  </si>
  <si>
    <t xml:space="preserve">U.S. ex rel. Hockett v. Columbia/HCA Healthcare Corp., </t>
  </si>
  <si>
    <t>498 F.Supp.2d 25, 2007 WL 2039544, D.D.C., July 17, 2007 (NO. MISC.01 50 RCL, CIV.A.99 3311 RCL)</t>
  </si>
  <si>
    <t xml:space="preserve">Layshock v. Hermitage School Dist., </t>
  </si>
  <si>
    <t>496 F.Supp.2d 587, 2007 WL 2022096, 223 Ed. Law Rep. 218, W.D.Pa., July 10, 2007 (NO. 2:06-CV-116)</t>
  </si>
  <si>
    <t xml:space="preserve">U.S. ex rel. McBride v. Halliburton Co., </t>
  </si>
  <si>
    <t>Not Reported in F.Supp.2d, 2007 WL 1954441, D.D.C., July 05, 2007 (NO. CIV.A.05 00828 HHK)</t>
  </si>
  <si>
    <t xml:space="preserve">Weaver v. Mobile Diagnostech, Inc., </t>
  </si>
  <si>
    <t>Not Reported in F.Supp.2d, 2007 WL 1830712, W.D.Pa., June 25, 2007 (NO. CIV.A. 02-1719)</t>
  </si>
  <si>
    <t xml:space="preserve">Qualey v. Jackson, </t>
  </si>
  <si>
    <t>Not Reported in F.Supp.2d, 2007 WL 1836028, 41 Employee Benefits Cas. 2292, E.D.Mich., June 25, 2007 (NO. 07-CV-10910-DT)</t>
  </si>
  <si>
    <t xml:space="preserve">Glaze v. Sysco Corp., </t>
  </si>
  <si>
    <t>Not Reported in F.Supp.2d, 2007 WL 1701931, 41 Employee Benefits Cas. 1993, S.D.Ind., June 11, 2007 (NO. 105CV-1546-DFH-WTL)</t>
  </si>
  <si>
    <t xml:space="preserve">Worldwide Network Services, LLC v. DynCorp Intern., </t>
  </si>
  <si>
    <t>496 F.Supp.2d 59, 2007 WL 1695648, D.D.C., June 07, 2007 (NO. CIV 06-1717 RJL)</t>
  </si>
  <si>
    <t xml:space="preserve">U.S. v. Griffin, </t>
  </si>
  <si>
    <t>494 F.Supp.2d 1, 2007 WL 1620526, 99 A.F.T.R.2d 2007-3184, D.Mass., June 06, 2007 (NO. CR.A.05 10175 WGY)</t>
  </si>
  <si>
    <t xml:space="preserve">Medwig v. Long Island R.R., </t>
  </si>
  <si>
    <t>Not Reported in F.Supp.2d, 2007 WL 1659201, S.D.N.Y., June 06, 2007 (NO. 06 CIV. 2568 (FM))</t>
  </si>
  <si>
    <t xml:space="preserve">In re Hutchinson Technology Inc. Securities Litigation, </t>
  </si>
  <si>
    <t>502 F.Supp.2d 884, 2007 WL 1620805, D.Minn., June 04, 2007 (NO. 05-CV-2095(PJS/JJG))</t>
  </si>
  <si>
    <t xml:space="preserve">Geisler v. Neri, </t>
  </si>
  <si>
    <t>Not Reported in F.Supp.2d, 2007 WL 1612819, 99 A.F.T.R.2d 2007-3468, 2007-2 USTC P 50,546, D.N.J., June 01, 2007 (NO. CIV A 06-3492 KSH)</t>
  </si>
  <si>
    <t xml:space="preserve">Busch v. Marple Newtown School Dist., </t>
  </si>
  <si>
    <t>Not Reported in F.Supp.2d, 2007 WL 1589507, E.D.Pa., May 31, 2007 (NO. CIV.A.05-CV-2094)</t>
  </si>
  <si>
    <t xml:space="preserve">Cohen v. Baca, </t>
  </si>
  <si>
    <t>Not Reported in F.Supp.2d, 2007 WL 1575245, D.Nev., May 30, 2007 (NO. 305CV-00665-PMP-VPC)</t>
  </si>
  <si>
    <t xml:space="preserve">Mohammad v. Beard, </t>
  </si>
  <si>
    <t>Not Reported in F.Supp.2d, 2007 WL 1439051, W.D.Pa., May 16, 2007 (NO. CIV.A. 05-580)</t>
  </si>
  <si>
    <t xml:space="preserve">Informatica Corp. v. Business Objects Data Integration, Inc., </t>
  </si>
  <si>
    <t>489 F.Supp.2d 1075, 2007 WL 1456153, N.D.Cal., May 16, 2007 (NO. C 02 03378 EDL)</t>
  </si>
  <si>
    <t xml:space="preserve">Morales v. U.S., </t>
  </si>
  <si>
    <t>Not Reported in F.Supp.2d, 2007 WL 1412338, S.D.N.Y., May 11, 2007 (NO. 07 CV 577 LAP, 02 CR 1409 LAP)</t>
  </si>
  <si>
    <t xml:space="preserve">Robinson v. Green, </t>
  </si>
  <si>
    <t>Not Reported in F.Supp.2d, 2007 WL 1447871, D.S.C., May 11, 2007 (NO. CIVA 2:06CV985 RBH)</t>
  </si>
  <si>
    <t xml:space="preserve">Access 4 All, Inc. v. Chicago Grande, Inc., </t>
  </si>
  <si>
    <t>Not Reported in F.Supp.2d, 2007 WL 1438167, 34 NDLR P 250, N.D.Ill., May 10, 2007 (NO. 06 C 5250)</t>
  </si>
  <si>
    <t xml:space="preserve">Grimm v. City of Uniontown, </t>
  </si>
  <si>
    <t>Not Reported in F.Supp.2d, 2007 WL 1366788, W.D.Pa., May 07, 2007 (NO. CIV.A.06-1050)</t>
  </si>
  <si>
    <t xml:space="preserve">In re Diva Jewelry Design, Inc., </t>
  </si>
  <si>
    <t>367 B.R. 463, 2007 WL 1302600, 57 Collier Bankr.Cas.2d 1771, 48 Bankr.Ct.Dec. 51, Bkrtcy.S.D.N.Y., May 01, 2007 (NO. 06-12256 REG)</t>
  </si>
  <si>
    <t xml:space="preserve">Brown v. Evans Correctional Institution Medical Staff, </t>
  </si>
  <si>
    <t>Not Reported in F.Supp.2d, 2007 WL 1290359, D.S.C., April 30, 2007 (NO. CIV.2:06-2464-DCNRSC)</t>
  </si>
  <si>
    <t xml:space="preserve">Goodin v. Innovative Technical Solutions, Inc., </t>
  </si>
  <si>
    <t>489 F.Supp.2d 1157, 2007 WL 1240204, 41 Employee Benefits Cas. 1031, Pens. Plan Guide (CCH) P 23999X, D.Hawai'i, April 27, 2007 (NO. 06-00344 JMS/BMK)</t>
  </si>
  <si>
    <t xml:space="preserve">Sconfienza v. Verizon Pennsylvania, Inc., </t>
  </si>
  <si>
    <t>Not Reported in F.Supp.2d, 2007 WL 1202976, 13 Wage &amp; Hour Cas.2d (BNA) 1324, M.D.Pa., April 23, 2007 (NO. 3:05CV272)</t>
  </si>
  <si>
    <t xml:space="preserve">Pitchford v. Potter, </t>
  </si>
  <si>
    <t>Not Reported in F.Supp.2d, 2007 WL 1020467, E.D.Ark., March 30, 2007 (NO. 3:03CV00374)</t>
  </si>
  <si>
    <t xml:space="preserve">Ramirez v. Pugh, </t>
  </si>
  <si>
    <t>486 F.Supp.2d 421, 2007 WL 1031547, M.D.Pa., March 29, 2007 (NO. 4:97-CV-0359)</t>
  </si>
  <si>
    <t xml:space="preserve">U.S. v. Fabian, </t>
  </si>
  <si>
    <t>522 F.Supp.2d 1078, 2007 WL 1035078, 65 ERC 1303, N.D.Ind., March 29, 2007 (NO. 2:02-CV-495)</t>
  </si>
  <si>
    <t xml:space="preserve">Zeno v. Ford Motor Co., Inc., </t>
  </si>
  <si>
    <t>480 F.Supp.2d 825, 2007 WL 935474, W.D.Pa., March 28, 2007 (NO. CIV.A. 05-418)</t>
  </si>
  <si>
    <t xml:space="preserve">Figueroa v. New York Health and Hospitals Corp., </t>
  </si>
  <si>
    <t>500 F.Supp.2d 224, 2007 WL 943537, S.D.N.Y., March 27, 2007 (NO. 03 CIV. 9589 (NRB))</t>
  </si>
  <si>
    <t xml:space="preserve">U.S. v. D'Amario, </t>
  </si>
  <si>
    <t>Not Reported in F.Supp.2d, 2007 WL 928473, D.N.J., March 26, 2007 (NO. CRIM.06-112)</t>
  </si>
  <si>
    <t xml:space="preserve">Kress v. Birchwood Landscaping, </t>
  </si>
  <si>
    <t>Not Reported in F.Supp.2d, 2007 WL 800996, M.D.Pa., March 14, 2007 (NO. 3:05-CV-566)</t>
  </si>
  <si>
    <t xml:space="preserve">Sandoval-Hernandez v. U.S., </t>
  </si>
  <si>
    <t>Not Reported in F.Supp.2d, 2007 WL 707338, N.D.Tex., March 08, 2007 (NO. 3:02 CR 396 M(05))</t>
  </si>
  <si>
    <t xml:space="preserve">Axelrod &amp; Cherveny Architects, P.C. v. Winmar Homes, </t>
  </si>
  <si>
    <t>Not Reported in F.Supp.2d, 2007 WL 708798, E.D.N.Y., March 06, 2007 (NO. 2:05 711 ENV ETB)</t>
  </si>
  <si>
    <t xml:space="preserve">Garcia v. Vanguard Car Rental USA, Inc., </t>
  </si>
  <si>
    <t>510 F.Supp.2d 821, 2007 WL 686625, M.D.Fla., March 05, 2007 (NO. 5:06-CV-220-OC-10GRJ)</t>
  </si>
  <si>
    <t xml:space="preserve">U.S. v. Zuni, </t>
  </si>
  <si>
    <t>506 F.Supp.2d 663, 2007 WL 1302615, D.N.M., March 05, 2007 (NO. CR 05-2369 JB)</t>
  </si>
  <si>
    <t xml:space="preserve">Moore v. Haviland, </t>
  </si>
  <si>
    <t>476 F.Supp.2d 768, 2007 WL 632682, N.D.Ohio, February 28, 2007 (NO. 1:04CV0242)</t>
  </si>
  <si>
    <t xml:space="preserve">Animal Protection Inst. v. Martin, </t>
  </si>
  <si>
    <t>Not Reported in F.Supp.2d, 2007 WL 647567, D.Me., February 23, 2007 (NO. CV-06-128 BW)</t>
  </si>
  <si>
    <t xml:space="preserve">Irvin v. United Mine Workers of America Health &amp; Retirement Funds, </t>
  </si>
  <si>
    <t>Not Reported in F.Supp.2d, 2007 WL 539646, W.D.Pa., February 15, 2007 (NO. 2:05CV1072)</t>
  </si>
  <si>
    <t xml:space="preserve">U.S. v. Vigil, </t>
  </si>
  <si>
    <t>476 F.Supp.2d 1231, 2007 WL 654559, D.N.M., February 13, 2007 (NO. CR 05-2051 JB)</t>
  </si>
  <si>
    <t xml:space="preserve">In re Motorola Securities Litigation, </t>
  </si>
  <si>
    <t>505 F.Supp.2d 501, 2007 WL 487738, N.D.Ill., February 08, 2007 (NO. 03 C 287)</t>
  </si>
  <si>
    <t xml:space="preserve">Johnson v. Moore, </t>
  </si>
  <si>
    <t>472 F.Supp.2d 1344, 2007 WL 402907, 20 Fla. L. Weekly Fed. D 426, M.D.Fla., February 07, 2007 (NO. 8:02-CV-1003-T-23)</t>
  </si>
  <si>
    <t xml:space="preserve">Kaluom v. Stolt Offshore, Inc., </t>
  </si>
  <si>
    <t>474 F.Supp.2d 866, 2007 WL 466604, 12 Wage &amp; Hour Cas.2d (BNA) 616, S.D.Tex., February 07, 2007 (NO. CIV.A.G 05 642)</t>
  </si>
  <si>
    <t xml:space="preserve">In re Allentown Ambassadors, Inc., </t>
  </si>
  <si>
    <t>361 B.R. 422, 2007 WL 316674, 47 Bankr.Ct.Dec. 251, Bkrtcy.E.D.Pa., February 05, 2007 (NO. 04-22368 ELF, ADV NO 04-2390)</t>
  </si>
  <si>
    <t xml:space="preserve">U.S. v. Grover, </t>
  </si>
  <si>
    <t>486 F.Supp.2d 868, 2007 WL 402448, N.D.Iowa, February 01, 2007 (NO. 06-CR-40-LRR)</t>
  </si>
  <si>
    <t xml:space="preserve">George v. Genuine Parts Co., </t>
  </si>
  <si>
    <t>Not Reported in F.Supp.2d, 2007 WL 217684, 34 NDLR P 39, W.D.Pa., January 25, 2007 (NO. CIV.A. 3:04-108)</t>
  </si>
  <si>
    <t xml:space="preserve">Johnson v. Ford, </t>
  </si>
  <si>
    <t>Not Reported in F.Supp.2d, 2007 WL 221391, D.S.C., January 25, 2007 (NO. 8:06-3581-HFF-BHH)</t>
  </si>
  <si>
    <t xml:space="preserve">M.S.-G ex rel. K.S.-G v. Lenape Regional High Bd. of Educ., </t>
  </si>
  <si>
    <t>Not Reported in F.Supp.2d, 2007 WL 269240, D.N.J., January 24, 2007 (NO. CIV.A.06CV02847(JHR))</t>
  </si>
  <si>
    <t xml:space="preserve">Maldonado v. West, </t>
  </si>
  <si>
    <t>Not Reported in F.Supp.2d, 2007 WL 188684, E.D.N.Y., January 22, 2007 (NO. 1:05-CV-3132-ENV)</t>
  </si>
  <si>
    <t xml:space="preserve">Benfield v. Rushton, </t>
  </si>
  <si>
    <t>Not Reported in F.Supp.2d, 2007 WL 30287, D.S.C., January 04, 2007 (NO. C/A 8:06 2609 JFA BH)</t>
  </si>
  <si>
    <t xml:space="preserve">Dialogo, LLC v. Bauza, </t>
  </si>
  <si>
    <t>467 F.Supp.2d 115, 2006 WL 3721051, D.Mass., December 18, 2006 (NO. C.A.05 30076 MAP)</t>
  </si>
  <si>
    <t xml:space="preserve">In re Allen, </t>
  </si>
  <si>
    <t>359 B.R. 1, 2006 WL 3627305, 99 A.F.T.R.2d 2007-569, 2007-1 USTC P 50,294, Bkrtcy.D.Mass., December 11, 2006 (NO. 04-12655-JNF)</t>
  </si>
  <si>
    <t xml:space="preserve">Aurora Nat. Life Assur. Co. v. Harrison, </t>
  </si>
  <si>
    <t>462 F.Supp.2d 951, 2006 WL 3378564, S.D.Iowa, November 21, 2006 (NO. 4:05 CV 00445 JEG CF)</t>
  </si>
  <si>
    <t xml:space="preserve">Blount v. Swiderski, </t>
  </si>
  <si>
    <t>Not Reported in F.Supp.2d, 2006 WL 3314635, E.D.N.Y., November 14, 2006 (NO. 203CV-0023-ENV-ETB)</t>
  </si>
  <si>
    <t>461 F.Supp.2d 298, 2006 WL 3299819, D.N.J., November 09, 2006 (NO. CRIM. 06-112)</t>
  </si>
  <si>
    <t xml:space="preserve">U.S. v. Foghorn, </t>
  </si>
  <si>
    <t>Not Reported in F.Supp.2d, 2006 WL 4017477, D.N.M., October 20, 2006 (NO. CR 03-2365 JB)</t>
  </si>
  <si>
    <t xml:space="preserve">Bozeman v. Per-Se Technologies, Inc., </t>
  </si>
  <si>
    <t>456 F.Supp.2d 1282, 2006 WL 2947533, N.D.Ga., October 16, 2006 (NO. 1:03-CV-3970-RLV)</t>
  </si>
  <si>
    <t xml:space="preserve">Jones v. Stewart, </t>
  </si>
  <si>
    <t>457 F.Supp.2d 1131, 2006 WL 2987569, D.Nev., October 04, 2006 (NO. 3:03-CV00032ECR(RAM))</t>
  </si>
  <si>
    <t>124 F.3d 411, 1997 WL 524030, C.A.3 (Pa.), August 26, 1997 (NO. 96-3629, 96-3666, 96-3661)</t>
  </si>
  <si>
    <t xml:space="preserve">John Wyeth &amp; Bro. Ltd. v. CIGNA Intern. Corp., </t>
  </si>
  <si>
    <t>119 F.3d 1070, 1997 WL 409449, C.A.3 (Pa.), July 23, 1997 (NO. 96-1653)</t>
  </si>
  <si>
    <t xml:space="preserve">Barton &amp; Pittinos, Inc. v. SmithKline Beecham Corp., </t>
  </si>
  <si>
    <t>118 F.3d 178, 1997 WL 401320, 1997-2 Trade Cases P 71,874, C.A.3 (Pa.), July 18, 1997 (NO. 96-1941)</t>
  </si>
  <si>
    <t xml:space="preserve">Robinson v. City of Pittsburgh, </t>
  </si>
  <si>
    <t>120 F.3d 1286, 1997 WL 386102, 74 Fair Empl.Prac.Cas. (BNA) 359, 71 Empl. Prac. Dec. P 44,983, C.A.3 (Pa.), July 14, 1997 (NO. 95-3594)</t>
  </si>
  <si>
    <t xml:space="preserve">In re Burlington Coat Factory Securities Litigation, </t>
  </si>
  <si>
    <t>114 F.3d 1410, 1997 WL 307776, Fed. Sec. L. Rep. P 99,485, 38 Fed.R.Serv.3d 557, C.A.3 (N.J.), June 10, 1997 (NO. 96-5187)</t>
  </si>
  <si>
    <t xml:space="preserve">U.S. v. Bell, </t>
  </si>
  <si>
    <t>113 F.3d 1345, 1997 WL 269404, C.A.3 (Pa.), May 22, 1997 (NO. 96-7654)</t>
  </si>
  <si>
    <t xml:space="preserve">Konstantopoulos v. Westvaco Corp., </t>
  </si>
  <si>
    <t>112 F.3d 710, 1997 WL 222821, 73 Fair Empl.Prac.Cas. (BNA) 1360, 70 Empl. Prac. Dec. P 44,709, 65 USLW 2775, 37 Fed.R.Serv.3d 1378, C.A.3 (Del.), May 06, 1997 (NO. 94-7462)</t>
  </si>
  <si>
    <t xml:space="preserve">In re Yuhas, </t>
  </si>
  <si>
    <t>104 F.3d 612, 1997 WL 21212, 65 USLW 2492, 37 Collier Bankr.Cas.2d 604, Bankr. L. Rep. P 77,246, 20 Employee Benefits Cas. 2489, C.A.3 (N.J.), January 22, 1997 (NO. 96-5146)</t>
  </si>
  <si>
    <t xml:space="preserve">AL Tech Specialty Steel Corp. v. Allegheny Intern. Credit Corp., </t>
  </si>
  <si>
    <t>104 F.3d 601, 1997 WL 15230, 43 ERC 2030, 30 Bankr.Ct.Dec. 248, 27 Envtl. L. Rep. 20,691, C.A.3 (Pa.), January 17, 1997 (NO. 95-3415)</t>
  </si>
  <si>
    <t xml:space="preserve">U.S. v. Murray, </t>
  </si>
  <si>
    <t>103 F.3d 310, 1997 WL 1891, 46 Fed. R. Evid. Serv. 223, C.A.3 (Pa.), January 03, 1997 (NO. 96-7072)</t>
  </si>
  <si>
    <t xml:space="preserve">Com. of Pa. Dept. of Public Welfare v. U.S. Dept. of Health and Human Services, </t>
  </si>
  <si>
    <t>101 F.3d 939, 1996 WL 692404, C.A.3 (Pa.), December 04, 1996 (NO. 95-3699)</t>
  </si>
  <si>
    <t>Total (unanimous)</t>
  </si>
  <si>
    <t xml:space="preserve">Southwestern Pennsylvania Growth Alliance v. Browner, </t>
  </si>
  <si>
    <t>121 F.3d 106, 1997 WL 418420, 45 ERC 1042, 38 Fed.R.Serv.3d 831, 27 Envtl. L. Rep. 21,540, C.A.3, July 28, 1997 (NO. 96-3364)</t>
  </si>
  <si>
    <t xml:space="preserve">Belcufine v. Aloe, </t>
  </si>
  <si>
    <t>112 F.3d 633, 1997 WL 203659, 65 USLW 2717, 37 Collier Bankr.Cas.2d 1521, Bankr. L. Rep. P 77,349, 3 Wage &amp; Hour Cas.2d (BNA) 1577, C.A.3 (Pa.), April 28, 1997 (NO. 96-3237)</t>
  </si>
  <si>
    <t>Total (all M)</t>
  </si>
  <si>
    <t xml:space="preserve">Alexander v. Whitman, </t>
  </si>
  <si>
    <t>114 F.3d 1392, 1997 WL 272350, 65 USLW 2796, C.A.3 (N.J.), May 23, 1997 (NO. 95-5414)</t>
  </si>
  <si>
    <t xml:space="preserve">U.S. v. Palma-Ruedas, </t>
  </si>
  <si>
    <t>121 F.3d 841, 1997 WL 429482, C.A.3 (N.J.), July 30, 1997 (NO. 96-5163, 95-5554, 95-5601, 96-5162, 96-5160, 96-5161)</t>
  </si>
  <si>
    <t xml:space="preserve">Phillips v. Borough of Keyport, </t>
  </si>
  <si>
    <t>107 F.3d 164, 1997 WL 72022, C.A.3 (N.J.), February 21, 1997 (NO. 95-5143)</t>
  </si>
  <si>
    <t xml:space="preserve">Sheridan v. E.I. DuPont de Nemours and Co., </t>
  </si>
  <si>
    <t>100 F.3d 1061, 1996 WL 659353, 72 Fair Empl.Prac.Cas. (BNA) 518, 69 Empl. Prac. Dec. P 44,509, 65 USLW 2372, 45 Fed. R. Evid. Serv. 1350, C.A.3 (Del.), November 14, 1996 (NO. 94-7509)</t>
  </si>
  <si>
    <t xml:space="preserve">U.S. v. Igbonwa, </t>
  </si>
  <si>
    <t>120 F.3d 437, 1997 WL 458059, C.A.3 (Pa.), August 07, 1997 (NO. 96-1848, 97-1054)</t>
  </si>
  <si>
    <t xml:space="preserve">Smith v. Horn, </t>
  </si>
  <si>
    <t>120 F.3d 400, 1997 WL 412087, C.A.3 (Pa.), July 24, 1997 (NO. 96-9002, 96-9001)</t>
  </si>
  <si>
    <t xml:space="preserve">Chang v. I.N.S., </t>
  </si>
  <si>
    <t>119 F.3d 1055, 1997 WL 406678, C.A.3, July 22, 1997 (NO. 96-3140)</t>
  </si>
  <si>
    <t xml:space="preserve">Beauty Time, Inc. v. VU Skin Systems, Inc., </t>
  </si>
  <si>
    <t>118 F.3d 140, 1997 WL 366018, 43 U.S.P.Q.2d 1225, C.A.3 (Pa.), July 03, 1997 (NO. 96-3572)</t>
  </si>
  <si>
    <t xml:space="preserve">RNS Services, Inc. v. Secretary of Labor, Mine Safety and Health Admin. (MSHA), </t>
  </si>
  <si>
    <t>115 F.3d 182, 1997 WL 283776, 167 A.L.R. Fed. 739, 1995-1997 O.S.H.D. (CCH) P 31,354, C.A.3, May 29, 1997 (NO. 96-3245)</t>
  </si>
  <si>
    <t xml:space="preserve">Bray v. Marriott Hotels, </t>
  </si>
  <si>
    <t>110 F.3d 986, 1997 WL 170287, 73 Fair Empl.Prac.Cas. (BNA) 1163, 70 Empl. Prac. Dec. P 44,755, C.A.3 (N.J.), April 11, 1997 (NO. 95-5662)</t>
  </si>
  <si>
    <t xml:space="preserve">U.S. v. Kauffman, </t>
  </si>
  <si>
    <t>109 F.3d 186, 1997 WL 139433, C.A.3 (Pa.), March 28, 1997 (NO. 96-7287)</t>
  </si>
  <si>
    <t xml:space="preserve">Caterpillar, Inc. v. International Union, United Auto., Aerospace and Agr. Implement Workers of America, </t>
  </si>
  <si>
    <t>107 F.3d 1052, 1997 WL 89075, 154 L.R.R.M. (BNA) 2609, 65 USLW 2611, 133 Lab.Cas. P 11,776, C.A.3 (Pa.), March 04, 1997 (NO. 96-7012)</t>
  </si>
  <si>
    <t xml:space="preserve">U.S. v. Rybar, </t>
  </si>
  <si>
    <t>103 F.3d 273, 1996 WL 740084, C.A.3 (Pa.), December 30, 1996 (NO. 95-3185)</t>
  </si>
  <si>
    <t xml:space="preserve">Ryder v. Westinghouse Elec. Corp., </t>
  </si>
  <si>
    <t>128 F.3d 128, 1997 WL 598392, 74 Fair Empl.Prac.Cas. (BNA) 1867, 71 Empl. Prac. Dec. P 45,003, 39 Fed.R.Serv.3d 150, 47 Fed. R. Evid. Serv. 1138, C.A.3 (Pa.), September 30, 1997 (NO. 96-3414)</t>
  </si>
  <si>
    <t xml:space="preserve">Kaplan v. Exxon Corp., </t>
  </si>
  <si>
    <t>126 F.3d 221, 1997 WL 590131, C.A.3 (Pa.), September 25, 1997 (NO. 96-1519, 96-1495)</t>
  </si>
  <si>
    <t xml:space="preserve">U.S. v. Skandier, </t>
  </si>
  <si>
    <t>125 F.3d 178, 1997 WL 581662, C.A.3 (Pa.), September 22, 1997 (NO. 97-3129, JOHNPSK)</t>
  </si>
  <si>
    <t xml:space="preserve">Queen City Pizza, Inc. v. Domino's Pizza, Inc., </t>
  </si>
  <si>
    <t>124 F.3d 430, 1997 WL 526215, 1997-2 Trade Cases P 71,909, C.A.3 (Pa.), August 27, 1997 (NO. 96-1638)</t>
  </si>
  <si>
    <t xml:space="preserve">Public Interest Research Group of New Jersey, Inc. v. Magnesium Elektron, Inc., </t>
  </si>
  <si>
    <t>123 F.3d 111, 1997 WL 434864, 45 ERC 1001, 27 Envtl. L. Rep. 21,340, C.A.3 (N.J.), August 05, 1997 (NO. 96-5049)</t>
  </si>
  <si>
    <t xml:space="preserve">Fallon Elec. Co., Inc. v. Cincinnati Ins. Co., </t>
  </si>
  <si>
    <t>121 F.3d 125, 1997 WL 429452, C.A.3 (Pa.), July 30, 1997 (NO. 96-3559, 96-3560)</t>
  </si>
  <si>
    <t xml:space="preserve">Kenneth E. Newton, MLPF&amp;S Cust. Bruce Zakheim, IRA FBO Bruce Zakheim v. Merrill, Lynch, Pierce, Fenner &amp; Smith, Inc., Painwebber, Inc., Dean Witter Reynolds; Jeffrey Phillip Kravitz v. Dean Witter Reynolds, Inc., MLPF&amp;S Cust. FPO Bruce Zakheim, IRA FBO Bruce Zakheim, Jeffrey Phillip Kravitz, Gloria Binder, </t>
  </si>
  <si>
    <t>115 F.3d 1135, 1997 WL 452519, C.A.3, July 30, 1997 (NO. 96-5045)</t>
  </si>
  <si>
    <t xml:space="preserve">Walling v. Brady, </t>
  </si>
  <si>
    <t>125 F.3d 114, 1997 WL 545795, 21 Employee Benefits Cas. 1437, C.A.3 (Del.), July 30, 1997 (NO. 96-7526)</t>
  </si>
  <si>
    <t xml:space="preserve">In re Tutu Wells Contamination Litigation, </t>
  </si>
  <si>
    <t>120 F.3d 368, 1997 WL 406683, 27 Envtl. L. Rep. 21,494, C.A.3 (Virgin Islands), July 22, 1997 (NO. 96-7385, 96-7388, 96-7391, 96-7386, 96-7389, 96-7392, 96-7387, 96-7390)</t>
  </si>
  <si>
    <t xml:space="preserve">Jenkins v. Manning, </t>
  </si>
  <si>
    <t>116 F.3d 685, 1997 WL 330956, 119 Ed. Law Rep. 78, C.A.3 (Del.), June 18, 1997 (NO. 96-7313)</t>
  </si>
  <si>
    <t xml:space="preserve">Mengine v. Runyon, </t>
  </si>
  <si>
    <t>114 F.3d 415, 1997 WL 310451, 6 A.D. Cases 1530, 22 A.D.D. 734, 10 NDLR P 146, C.A.3 (Pa.), June 11, 1997 (NO. 96-3287)</t>
  </si>
  <si>
    <t xml:space="preserve">Bromwell v. Michigan Mut. Ins. Co., </t>
  </si>
  <si>
    <t>115 F.3d 208, 1997 WL 302400, C.A.3 (Pa.), June 06, 1997 (NO. 96-3181)</t>
  </si>
  <si>
    <t xml:space="preserve">U.S. v. Eyer, </t>
  </si>
  <si>
    <t>113 F.3d 470, 1997 WL 249174, 37 Fed.R.Serv.3d 1288, C.A.3 (Pa.), May 14, 1997 (NO. 96-7310)</t>
  </si>
  <si>
    <t xml:space="preserve">Rush v. Scott Specialty Gases, Inc., </t>
  </si>
  <si>
    <t>113 F.3d 476, 1997 WL 249175, 74 Fair Empl.Prac.Cas. (BNA) 1745, 71 Empl. Prac. Dec. P 44,825, C.A.3 (Pa.), May 14, 1997 (NO. 96-1606)</t>
  </si>
  <si>
    <t xml:space="preserve">U.S. v. Lewis, </t>
  </si>
  <si>
    <t>113 F.3d 487, 1997 WL 249176, C.A.3 (Pa.), May 14, 1997 (NO. 96-1468)</t>
  </si>
  <si>
    <t xml:space="preserve">U.S. v. Powell, </t>
  </si>
  <si>
    <t>113 F.3d 464, 1997 WL 239653, C.A.3 (Pa.), May 12, 1997 (NO. 96-7274, 96-7242)</t>
  </si>
  <si>
    <t xml:space="preserve">Rhone Poulenc Rorer Pharmaceuticals Inc. v. Newman Glass Works, </t>
  </si>
  <si>
    <t>112 F.3d 695, 1997 WL 220341, C.A.3 (Pa.), May 05, 1997 (NO. 95-2022)</t>
  </si>
  <si>
    <t xml:space="preserve">Pittsburgh Food &amp; Beverage, Inc. v. Ranallo, </t>
  </si>
  <si>
    <t>112 F.3d 645, 1997 WL 216499, 30 Bankr.Ct.Dec. 969, Bankr. L. Rep. P 77,407, C.A.3 (Pa.), May 01, 1997 (NO. 95-3633, 95-3634)</t>
  </si>
  <si>
    <t xml:space="preserve">Azzaro v. County of Allegheny, </t>
  </si>
  <si>
    <t>110 F.3d 968, 1997 WL 170285, 73 Fair Empl.Prac.Cas. (BNA) 930, 73 Fair Empl.Prac.Cas. (BNA) 1073, 70 Empl. Prac. Dec. P 44,646, 65 USLW 2667, 12 IER Cases 1343, C.A.3 (Pa.), April 11, 1997 (NO. 95-3253)</t>
  </si>
  <si>
    <t xml:space="preserve">Barren Creek Coal Co. v. Witmer, </t>
  </si>
  <si>
    <t>111 F.3d 352, 1997 WL 164186, C.A.3, April 09, 1997 (NO. 96-3273)</t>
  </si>
  <si>
    <t xml:space="preserve">Williams v. Stone, </t>
  </si>
  <si>
    <t>109 F.3d 890, 1997 WL 134558, RICO Bus.Disp.Guide 9240, C.A.3 (Pa.), March 26, 1997 (NO. 96-1433)</t>
  </si>
  <si>
    <t xml:space="preserve">Smith v. Philadelphia Housing Authority, </t>
  </si>
  <si>
    <t>107 F.3d 223, 1997 WL 78905, C.A.3 (Pa.), February 26, 1997 (NO. 96-1370, 96-1379)</t>
  </si>
  <si>
    <t xml:space="preserve">E &amp; R Erectors, Inc. v. Secretary of Labor, </t>
  </si>
  <si>
    <t>107 F.3d 157, 1997 WL 76759, 17 O.S.H. Cas. (BNA) 1903, 1995-1997 O.S.H.D. (CCH) P 31,252, C.A.3, February 20, 1997 (NO. 96-3276)</t>
  </si>
  <si>
    <t xml:space="preserve">In re Barshak, </t>
  </si>
  <si>
    <t>106 F.3d 501, 1997 WL 50616, Bankr. L. Rep. P 77,261, 20 Employee Benefits Cas. 2639, Pens. Plan Guide (CCH) P 23931L, C.A.3 (Pa.), February 10, 1997 (NO. 96-1423)</t>
  </si>
  <si>
    <t xml:space="preserve">Donaldson v. Bernstein, </t>
  </si>
  <si>
    <t>104 F.3d 547, 1997 WL 10547, 30 Bankr.Ct.Dec. 242, Bankr. L. Rep. P 77,288, C.A.3 (Pa.), January 14, 1997 (NO. 96-3208)</t>
  </si>
  <si>
    <t xml:space="preserve">Madden v. Myers, </t>
  </si>
  <si>
    <t>102 F.3d 74, 1996 WL 690197, C.A.3 (Pa.), December 03, 1996 (NO. 96-8046)</t>
  </si>
  <si>
    <t xml:space="preserve">Santana v. U.S., </t>
  </si>
  <si>
    <t>98 F.3d 752, 1996 WL 596845, C.A.3 (N.J.), October 18, 1996 (NO. 96-5276)</t>
  </si>
  <si>
    <t xml:space="preserve">In re Unisys Corp. Long-Term Disability Plan ERISA Litigation, </t>
  </si>
  <si>
    <t>97 F.3d 710, 1996 WL 578535, C.A.3 (Pa.), October 09, 1996 (NO. 96-1156, 96-1100)</t>
  </si>
  <si>
    <t xml:space="preserve">Elliott v. Kiesewetter, </t>
  </si>
  <si>
    <t>98 F.3d 47, 1996 WL 578571, 35 Fed.R.Serv.3d 742, C.A.3 (Pa.), October 09, 1996 (NO. 95-3104, 95-3105)</t>
  </si>
  <si>
    <t xml:space="preserve">U.S. v. Trupin, </t>
  </si>
  <si>
    <t>117 F.3d 678, 1997 WL 355487, C.A.2 (N.Y.), June 27, 1997 (NO. 96-1252, 713, 96-1307, 524)</t>
  </si>
  <si>
    <t xml:space="preserve">U.S. v. Bailey, </t>
  </si>
  <si>
    <t>115 F.3d 1222, 1997 WL 317295, C.A.5 (Tex.), June 12, 1997 (NO. 95-50721)</t>
  </si>
  <si>
    <t xml:space="preserve">U.S. v. Fuentes, </t>
  </si>
  <si>
    <t>107 F.3d 1515, 1997 WL 104352, 65 USLW 2694, 10 Fla. L. Weekly Fed. C 777, C.A.11 (Fla.), March 25, 1997 (NO. 94-4916)</t>
  </si>
  <si>
    <t xml:space="preserve">U.S. v. Kirk, </t>
  </si>
  <si>
    <t>105 F.3d 997, 1997 WL 40602, C.A.5 (Tex.), February 03, 1997 (NO. 94-50472)</t>
  </si>
  <si>
    <t xml:space="preserve">U.S. v. Olson, </t>
  </si>
  <si>
    <t>104 F.3d 1234, 1997 WL 16130, C.A.10 (Colo.), January 17, 1997 (NO. 95-1522)</t>
  </si>
  <si>
    <t xml:space="preserve">Grant v. City of Pittsburgh, </t>
  </si>
  <si>
    <t>98 F.3d 116, 1996 WL 596905, C.A.3 (Pa.), October 18, 1996 (NO. 95-3600, 95-3599)</t>
  </si>
  <si>
    <t xml:space="preserve">Smith v. Borough of Pottstown, </t>
  </si>
  <si>
    <t>Not Reported in F.Supp., 1997 WL 381778, E.D.Pa., June 30, 1997 (NO. CIV.A. 96-1941)</t>
  </si>
  <si>
    <t>Not Reported in F.Supp., 1997 WL 447914, D.Del., May 28, 1997 (NO. 93-579-SLR)</t>
  </si>
  <si>
    <t>C/D, C/D</t>
  </si>
  <si>
    <t xml:space="preserve">Leonard A. Feinberg, Inc. v. Central Asia Capital Corp., Ltd., </t>
  </si>
  <si>
    <t>974 F.Supp. 822, 1997 WL 230812, 34 UCC Rep.Serv.2d 112, E.D.Pa., May 01, 1997 (NO. CIV. A. 95-8080)</t>
  </si>
  <si>
    <t xml:space="preserve">Lujan v. Mansmann, </t>
  </si>
  <si>
    <t>956 F.Supp. 1218, 1997 WL 125740, E.D.Pa., March 14, 1997 (NO. 96-CV-5098, CIV.A. 96-5098)</t>
  </si>
  <si>
    <t xml:space="preserve">Coover v. Saucon Valley School Dist., </t>
  </si>
  <si>
    <t>955 F.Supp. 392, 1997 WL 83734, 116 Ed. Law Rep. 979, E.D.Pa., February 26, 1997 (NO. CIV. A. 95-7303)</t>
  </si>
  <si>
    <t xml:space="preserve">Vartan v. Nix, </t>
  </si>
  <si>
    <t>980 F.Supp. 138, 1997 WL 36994, E.D.Pa., January 29, 1997 (NO. CIV. A. 96-6365)</t>
  </si>
  <si>
    <t xml:space="preserve">Rich v. Bailey, </t>
  </si>
  <si>
    <t>Not Reported in F.Supp., 1996 WL 745298, E.D.Pa., December 23, 1996 (NO. CIV. A. 95-6932)</t>
  </si>
  <si>
    <t xml:space="preserve">Stop-Save Township Open Places, Inc. v. Board of Sup'rs of Montgomery Township, </t>
  </si>
  <si>
    <t>Not Reported in F.Supp., 1996 WL 663875, E.D.Pa., November 15, 1996 (NO. CIV. A. 96-7325)</t>
  </si>
  <si>
    <t>1996 Term (10/7/1996-10/5/1997)</t>
  </si>
  <si>
    <t xml:space="preserve">U.S. v. Tobin, </t>
  </si>
  <si>
    <t>155 F.3d 636, 1998 WL 531351, C.A.3 (N.J.), August 25, 1998 (NO. 97-5304)</t>
  </si>
  <si>
    <t xml:space="preserve">Keller v. Orix Credit Alliance, Inc., </t>
  </si>
  <si>
    <t>130 F.3d 1101, 1997 WL 752158, 75 Fair Empl.Prac.Cas. (BNA) 716, 72 Empl. Prac. Dec. P 45,062, C.A.3 (N.J.), November 24, 1997 (NO. 95-5289)</t>
  </si>
  <si>
    <t>en banc</t>
  </si>
  <si>
    <t xml:space="preserve">Edwards v. California University of Pennsylvania, </t>
  </si>
  <si>
    <t>156 F.3d 488, 1998 WL 460179, 74 Empl. Prac. Dec. P 45,534, 129 Ed. Law Rep. 622, C.A.3 (Pa.), August 10, 1998 (NO. 97-3285)</t>
  </si>
  <si>
    <t xml:space="preserve">Fiore v. White, </t>
  </si>
  <si>
    <t>149 F.3d 221, 1998 WL 406867, 28 Envtl. L. Rep. 21,442, C.A.3 (Pa.), July 21, 1998 (NO. 97-3288)</t>
  </si>
  <si>
    <t xml:space="preserve">Michaels v. State of New Jersey, </t>
  </si>
  <si>
    <t>150 F.3d 257, 1998 WL 395006, C.A.3 (N.J.), July 16, 1998 (NO. 97-5701)</t>
  </si>
  <si>
    <t xml:space="preserve">U.S. v. Moses, </t>
  </si>
  <si>
    <t>148 F.3d 277, 1998 WL 378812, 82 A.F.T.R.2d 98-5253, 50 Fed. R. Evid. Serv. 175, C.A.3 (Pa.), July 09, 1998 (NO. 96-3632)</t>
  </si>
  <si>
    <t xml:space="preserve">U.S. v. Ramos, </t>
  </si>
  <si>
    <t>147 F.3d 281, 1998 WL 337889, C.A.3 (Pa.), June 26, 1998 (NO. 96-7356)</t>
  </si>
  <si>
    <t xml:space="preserve">In re Kaplan, </t>
  </si>
  <si>
    <t>143 F.3d 807, 1998 WL 297645, 32 Bankr.Ct.Dec. 869, C.A.3 (Pa.), June 09, 1998 (NO. 97-1394)</t>
  </si>
  <si>
    <t xml:space="preserve">Fitzgerald v. Apfel, </t>
  </si>
  <si>
    <t>148 F.3d 232, 1998 WL 294016, 57 Soc.Sec.Rep.Serv. 574, Unempl.Ins.Rep. (CCH) P 16048B, C.A.3 (Pa.), June 08, 1998 (NO. 97-1605)</t>
  </si>
  <si>
    <t xml:space="preserve">Reynolds v. Wagner, </t>
  </si>
  <si>
    <t>128 F.3d 166, 1997 WL 652741, C.A.3 (Pa.), October 22, 1997 (NO. 96-1810)</t>
  </si>
  <si>
    <t xml:space="preserve">U.S. v. Lake, </t>
  </si>
  <si>
    <t>150 F.3d 269, 1998 WL 406835, 50 Fed. R. Evid. Serv. 189, C.A.3 (Virgin Islands), July 21, 1998 (NO. 97-7462)</t>
  </si>
  <si>
    <t xml:space="preserve">Gulla v. North Strabane Tp., </t>
  </si>
  <si>
    <t>146 F.3d 168, 1998 WL 294013, C.A.3 (Pa.), June 08, 1998 (NO. 97-3302)</t>
  </si>
  <si>
    <t xml:space="preserve">U.S. v. Kithcart, </t>
  </si>
  <si>
    <t>134 F.3d 529, 1998 WL 12561, C.A.3 (Pa.), January 12, 1998 (NO. 97-1168)</t>
  </si>
  <si>
    <t xml:space="preserve">U.S. v. Schwegel, </t>
  </si>
  <si>
    <t>126 F.3d 551, 1997 WL 613624, C.A.3 (Pa.), October 07, 1997 (NO. 97-1082)</t>
  </si>
  <si>
    <t xml:space="preserve">Ford v. Schering-Plough Corp., </t>
  </si>
  <si>
    <t>145 F.3d 601, 1998 WL 258386, 22 Employee Benefits Cas. 1866, 8 A.D. Cases 190, 12 NDLR P 291, C.A.3 (N.J.), May 22, 1998 (NO. 96-5674)</t>
  </si>
  <si>
    <t xml:space="preserve">Nationwide Mut. Fire Ins. Co. of Columbus v. Pipher, </t>
  </si>
  <si>
    <t>140 F.3d 222, 1998 WL 113933, C.A.3 (Pa.), March 17, 1998 (NO. 97-1282)</t>
  </si>
  <si>
    <t xml:space="preserve">U.S. v. Russell, </t>
  </si>
  <si>
    <t>134 F.3d 171, 1998 WL 12543, C.A.3 (Pa.), January 16, 1998 (NO. 96-7760)</t>
  </si>
  <si>
    <t xml:space="preserve">ErieNet, Inc. v. Velocity Net, Inc., </t>
  </si>
  <si>
    <t>156 F.3d 513, 1998 WL 656175, 13 Communications Reg. (P&amp;F) 956, C.A.3 (Pa.), September 25, 1998 (NO. 97-3562)</t>
  </si>
  <si>
    <t xml:space="preserve">In re City of Philadelphia Litigation, </t>
  </si>
  <si>
    <t>158 F.3d 711, 1998 WL 569362, C.A.3 (Pa.), September 09, 1998 (NO. 96-2127)</t>
  </si>
  <si>
    <t>158 F.3d 723, 1998 WL 569379, 41 Fed.R.Serv.3d 421, C.A.3 (Pa.), September 09, 1998 (NO. 96-1978)</t>
  </si>
  <si>
    <t xml:space="preserve">Abu-Jamal v. Price, </t>
  </si>
  <si>
    <t>154 F.3d 128, 1998 WL 531402, C.A.3 (Pa.), August 25, 1998 (NO. 96-3756)</t>
  </si>
  <si>
    <t xml:space="preserve">In re Fesq, </t>
  </si>
  <si>
    <t>153 F.3d 113, 1998 WL 481227, 40 Collier Bankr.Cas.2d 768, Bankr. L. Rep. P 77,778, C.A.3 (N.J.), August 18, 1998 (NO. 97-5140)</t>
  </si>
  <si>
    <t xml:space="preserve">In re Madden, </t>
  </si>
  <si>
    <t>151 F.3d 125, 1998 WL 458188, 49 Fed. R. Evid. Serv. 1106, C.A.3 (Pa.), August 06, 1998 (NO. 97-3267)</t>
  </si>
  <si>
    <t xml:space="preserve">Iberia Foods Corp. v. Romeo, </t>
  </si>
  <si>
    <t>150 F.3d 298, 1998 WL 427234, 47 U.S.P.Q.2d 1604, C.A.3 (N.J.), July 30, 1998 (NO. 97-5424)</t>
  </si>
  <si>
    <t xml:space="preserve">U.S. v. Sherman, </t>
  </si>
  <si>
    <t>150 F.3d 306, 1998 WL 427240, C.A.3 (Pa.), July 30, 1998 (NO. 97-7073)</t>
  </si>
  <si>
    <t xml:space="preserve">Koppers Co., Inc. v. Aetna Cas. and Sur. Co., </t>
  </si>
  <si>
    <t>158 F.3d 170, 1998 WL 718343, 41 Fed.R.Serv.3d 1328, C.A.3 (Pa.), July 22, 1998 (NO. 97-3432)</t>
  </si>
  <si>
    <t xml:space="preserve">U.S. v. Boynes, </t>
  </si>
  <si>
    <t>149 F.3d 208, 1998 WL 378811, 1999 A.M.C. 249, 28 Envtl. L. Rep. 21,410, C.A.3 (Virgin Islands), July 09, 1998 (NO. 97-7490)</t>
  </si>
  <si>
    <t xml:space="preserve">U.S. v. Varlack Ventures, Inc., </t>
  </si>
  <si>
    <t>149 F.3d 212, 1998 WL 378814, 1999 A.M.C. 255, 28 Envtl. L. Rep. 21,419, C.A.3 (Virgin Islands), July 09, 1998 (NO. 97-7489)</t>
  </si>
  <si>
    <t xml:space="preserve">First Liberty Inv. Group v. Nicholsberg, </t>
  </si>
  <si>
    <t>145 F.3d 647, 1998 WL 297503, C.A.3 (Pa.), June 09, 1998 (NO. 97-1514)</t>
  </si>
  <si>
    <t xml:space="preserve">Tara M. by Kantner v. City of Philadelphia, </t>
  </si>
  <si>
    <t>145 F.3d 625, 1998 WL 279472, C.A.3 (Pa.), June 02, 1998 (NO. 97-1596)</t>
  </si>
  <si>
    <t xml:space="preserve">Transport Workers Union of America, Local 290 By and Through Fabio v. Southeastern Pennsylvania Transp. Authority, </t>
  </si>
  <si>
    <t>145 F.3d 619, 1998 WL 269984, 22 Employee Benefits Cas. 1309, C.A.3 (Pa.), May 27, 1998 (NO. 96-1760)</t>
  </si>
  <si>
    <t xml:space="preserve">Pappan Enterprises, Inc. v. Hardee's Food Systems, Inc., </t>
  </si>
  <si>
    <t>143 F.3d 800, 1998 WL 237324, 46 U.S.P.Q.2d 1769, C.A.3 (Pa.), May 13, 1998 (NO. 97-3473)</t>
  </si>
  <si>
    <t xml:space="preserve">Ingram v. County of Bucks, </t>
  </si>
  <si>
    <t>144 F.3d 265, 1998 WL 246436, 4 Wage &amp; Hour Cas.2d (BNA) 1011, C.A.3 (Pa.), May 12, 1998 (NO. 97-1360)</t>
  </si>
  <si>
    <t xml:space="preserve">U.S. v. Faulks, </t>
  </si>
  <si>
    <t>143 F.3d 133, 1998 WL 205927, C.A.3 (Pa.), April 29, 1998 (NO. 96-2056)</t>
  </si>
  <si>
    <t xml:space="preserve">In re Krystal Cadillac Oldsmobile GMC Truck, Inc., </t>
  </si>
  <si>
    <t>142 F.3d 631, 1998 WL 191795, 32 Bankr.Ct.Dec. 673, Bankr. L. Rep. P 77,680, C.A.3 (Pa.), April 23, 1998 (NO. 97-7117, 97-7118)</t>
  </si>
  <si>
    <t xml:space="preserve">Krebs Chrysler-Plymouth, Inc. v. Valley Motors, Inc., </t>
  </si>
  <si>
    <t>141 F.3d 490, 1998 WL 164907, 32 Bankr.Ct.Dec. 544, C.A.3 (Pa.), April 10, 1998 (NO. 96-3757, 96-3702)</t>
  </si>
  <si>
    <t xml:space="preserve">Henkels &amp; McCoy, Inc. v. Adochio, </t>
  </si>
  <si>
    <t>138 F.3d 491, 1998 WL 97782, C.A.3 (Pa.), March 09, 1998 (NO. 97-1170)</t>
  </si>
  <si>
    <t xml:space="preserve">In re Gutpelet, </t>
  </si>
  <si>
    <t>137 F.3d 748, 1998 WL 95211, C.A.3 (Pa.), March 03, 1998 (NO. 97-1148)</t>
  </si>
  <si>
    <t xml:space="preserve">Harris v. City of Philadelphia, </t>
  </si>
  <si>
    <t>137 F.3d 209, 1998 WL 81626, C.A.3 (Pa.), February 27, 1998 (NO. 97-1144)</t>
  </si>
  <si>
    <t xml:space="preserve">Sabo v. Metropolitan Life Ins. Co., </t>
  </si>
  <si>
    <t>137 F.3d 185, 1998 WL 70610, RICO Bus.Disp.Guide 9440, C.A.3 (Pa.), February 23, 1998 (NO. 96-3663)</t>
  </si>
  <si>
    <t xml:space="preserve">In re Prudential Ins. Co. of America Sales Practice Litigation All Agent Actions, </t>
  </si>
  <si>
    <t>133 F.3d 225, 1998 WL 2844, 13 IER Cases 1029, C.A.3 (N.J.), January 07, 1998 (NO. 96-5329)</t>
  </si>
  <si>
    <t xml:space="preserve">U.S. v. Fiorelli, </t>
  </si>
  <si>
    <t>133 F.3d 218, 1998 WL 1955, C.A.3 (Pa.), January 06, 1998 (NO. 94-2210)</t>
  </si>
  <si>
    <t xml:space="preserve">U.S. v. Knobloch, </t>
  </si>
  <si>
    <t>131 F.3d 366, 1997 WL 758722, C.A.3 (Pa.), December 10, 1997 (NO. 96-3022)</t>
  </si>
  <si>
    <t xml:space="preserve">U.S. v. Ward, </t>
  </si>
  <si>
    <t>131 F.3d 335, 1997 WL 707096, C.A.3 (N.J.), November 13, 1997 (NO. 97-5082, 96-5789)</t>
  </si>
  <si>
    <t xml:space="preserve">U.S. v. Franklyn, </t>
  </si>
  <si>
    <t>157 F.3d 90, 1998 WL 603237, C.A.2 (N.Y.), September 11, 1998 (NO. 97-1427, 97-1392)</t>
  </si>
  <si>
    <t xml:space="preserve"> </t>
  </si>
  <si>
    <t xml:space="preserve">Lubart v. Riley and Fanelli, P.C., </t>
  </si>
  <si>
    <t>Not Reported in F.Supp., 1998 WL 398253, RICO Bus.Disp.Guide 9552, E.D.Pa., June 22, 1998 (NO. CIV. 97-6392)</t>
  </si>
  <si>
    <t xml:space="preserve">Mruz v. Caring, Inc., </t>
  </si>
  <si>
    <t>991 F.Supp. 701, 1998 WL 35379, RICO Bus.Disp.Guide 9462, D.N.J., January 28, 1998 (NO. CIV. A. 97-1468)</t>
  </si>
  <si>
    <t xml:space="preserve">In re Big Wheel Holding Co., Inc., </t>
  </si>
  <si>
    <t>214 B.R. 945, 1997 WL 749502, 39 Collier Bankr.Cas.2d 403, D.Del., November 19, 1997 (NO. 93-798, 93-796, CIV.A. 97-181-RRM, 93-797)</t>
  </si>
  <si>
    <t xml:space="preserve">RTC Mortg. Trust 1994 N-1 v. Fidelity Nat. Title Ins. Co., </t>
  </si>
  <si>
    <t>981 F.Supp. 334, 1997 WL 664730, D.N.J., October 20, 1997 (NO. CIV. A. 96-5874)</t>
  </si>
  <si>
    <t>1997 Term (10/6/1997 - 10/4/1998)</t>
  </si>
  <si>
    <t xml:space="preserve">U.S. v. Harple, </t>
  </si>
  <si>
    <t>202 F.3d 194, 1999 WL 1332335, C.A.3 (Pa.), September 10, 1999 (NO. 99-1040)</t>
  </si>
  <si>
    <t xml:space="preserve">Showalter v. University of Pittsburgh Medical Center, </t>
  </si>
  <si>
    <t>190 F.3d 231, 1999 WL 673349, 80 Fair Empl.Prac.Cas. (BNA) 3320, 80 Fair Empl.Prac.Cas. (BNA) 1161, 76 Lab.Cas. P 46,056, C.A.3 (Pa.), August 31, 1999 (NO. 98-3320)</t>
  </si>
  <si>
    <t xml:space="preserve">Warrick v. Snider, </t>
  </si>
  <si>
    <t>Not Reported in F.3d, 1999 WL 34590218, C.A.3 (Pa.), August 17, 1999 (NO. 98-3010, 98-3011)</t>
  </si>
  <si>
    <t xml:space="preserve">U.S. v. Medford, </t>
  </si>
  <si>
    <t>194 F.3d 419, 1999 WL 825605, C.A.3 (Pa.), July 02, 1999 (NO. 98-1647, 98-1648)</t>
  </si>
  <si>
    <t xml:space="preserve">Waterman v. Farmer, </t>
  </si>
  <si>
    <t>183 F.3d 208, 1999 WL 437285, C.A.3 (N.J.), June 30, 1999 (NO. 98-6261)</t>
  </si>
  <si>
    <t xml:space="preserve">Rouse v. Plantier, </t>
  </si>
  <si>
    <t>182 F.3d 192, 1999 WL 432594, C.A.3 (N.J.), June 29, 1999 (NO. 98-5139)</t>
  </si>
  <si>
    <t xml:space="preserve">U.S. Fire Ins. Co. v. Asbestospray, Inc., </t>
  </si>
  <si>
    <t>182 F.3d 201, 1999 WL 432596, C.A.3 (Pa.), June 29, 1999 (NO. 98-1153, 98-1154, 98-1854)</t>
  </si>
  <si>
    <t xml:space="preserve">R.A. Glancy &amp; Sons, Inc. v. U.S., Dept. of Veterans Affairs, </t>
  </si>
  <si>
    <t>180 F.3d 553, 1999 WL 424363, C.A.3 (Pa.), June 24, 1999 (NO. 99-3188)</t>
  </si>
  <si>
    <t xml:space="preserve">Arnold M. Diamond, Inc. v. Gulf Coast Trailing Co., </t>
  </si>
  <si>
    <t>180 F.3d 518, 1999 WL 395996, 1999 A.M.C. 2898, C.A.3 (N.J.), June 16, 1999 (NO. 97-5634)</t>
  </si>
  <si>
    <t xml:space="preserve">Council of Alternative Political Parties v. Hooks, </t>
  </si>
  <si>
    <t>179 F.3d 64, 1999 WL 346181, C.A.3 (N.J.), June 01, 1999 (NO. 98-5256)</t>
  </si>
  <si>
    <t xml:space="preserve">U.S. v. Coates, </t>
  </si>
  <si>
    <t>178 F.3d 681, 1999 WL 330412, C.A.3 (Pa.), May 21, 1999 (NO. 98-1173)</t>
  </si>
  <si>
    <t>176 F.3d 714, 1999 WL 308806, C.A.3 (N.J.), May 17, 1999 (NO. 97-5465)</t>
  </si>
  <si>
    <t xml:space="preserve">Caruso v. Blockbuster-Sony Music Entertainment Centre at the Waterfront, </t>
  </si>
  <si>
    <t>174 F.3d 166, 1999 WL 185040, 9 A.D. Cases 426, 15 NDLR P 33, C.A.3 (N.J.), April 06, 1999 (NO. 97-5693, 97-5764)</t>
  </si>
  <si>
    <t xml:space="preserve">Caruso v. Blockbuster-Sony Music Entertainment Centre at Waterfront, </t>
  </si>
  <si>
    <t>193 F.3d 730, 1999 WL 1024037, 9 A.D. Cases 1600, 9 A.D. Cases 1601, 16 NDLR P 172, C.A.3 (N.J.), November 05, 1999 (NO. 97-5693, 97-5764)</t>
  </si>
  <si>
    <t xml:space="preserve">Fraternal Order of Police Newark Lodge No. 12 v. City of Newark, </t>
  </si>
  <si>
    <t>170 F.3d 359, 1999 WL 123608, 79 Fair Empl.Prac.Cas. (BNA) 323, 75 Empl. Prac. Dec. P 45,820, C.A.3 (N.J.), March 03, 1999 (NO. 97-5542)</t>
  </si>
  <si>
    <t xml:space="preserve">Imprisoned Citizens Union v. Ridge, </t>
  </si>
  <si>
    <t>169 F.3d 178, 1999 WL 93802, C.A.3 (Pa.), February 25, 1999 (NO. 98-1536)</t>
  </si>
  <si>
    <t xml:space="preserve">Buehl v. Vaughn, </t>
  </si>
  <si>
    <t>166 F.3d 163, 1999 WL 20823, C.A.3 (Pa.), January 20, 1999 (NO. 97-1241)</t>
  </si>
  <si>
    <t xml:space="preserve">SecuraComm Consulting Inc. v. Securacom Inc., </t>
  </si>
  <si>
    <t>166 F.3d 182, 1999 WL 20826, 49 U.S.P.Q.2d 1444, C.A.3 (N.J.), January 20, 1999 (NO. 97-5794)</t>
  </si>
  <si>
    <t xml:space="preserve">Conte Bros. Automotive, Inc. v. Quaker State-Slick 50, Inc., </t>
  </si>
  <si>
    <t>165 F.3d 221, 1998 WL 905010, 1999-1 Trade Cases P 72,383, 49 U.S.P.Q.2d 1321, C.A.3 (N.J.), December 30, 1998 (NO. 98-5136)</t>
  </si>
  <si>
    <t xml:space="preserve">Mondzelewski v. Pathmark Stores, Inc., </t>
  </si>
  <si>
    <t>162 F.3d 778, 1998 WL 890346, 8 A.D. Cases 1752, 14 NDLR P 50, C.A.3 (Del.), December 23, 1998 (NO. 97-7475)</t>
  </si>
  <si>
    <t xml:space="preserve">American Civil Liberties Union of New Jersey ex rel. Lander v. Schundler, </t>
  </si>
  <si>
    <t>168 F.3d 92, 1999 WL 77766, C.A.3 (N.J.), February 16, 1999 (NO. 98-5021)</t>
  </si>
  <si>
    <t xml:space="preserve">U.S. ex rel Mistick PBT v. Housing Authority of City of Pittsburgh, </t>
  </si>
  <si>
    <t>186 F.3d 376, 1999 WL 553843, C.A.3 (Pa.), July 30, 1999 (NO. 97-3248)</t>
  </si>
  <si>
    <t xml:space="preserve">Mellott v. Heemer, </t>
  </si>
  <si>
    <t>161 F.3d 117, 1998 WL 768651, C.A.3 (Pa.), November 05, 1998 (NO. 97-7437)</t>
  </si>
  <si>
    <t xml:space="preserve">U.S. v. Tyler, </t>
  </si>
  <si>
    <t>164 F.3d 150, 1998 WL 865900, C.A.3 (Pa.), December 15, 1998 (NO. 96-7776)</t>
  </si>
  <si>
    <t xml:space="preserve">Hotel Employees and Restaurant Employees Intern. Union Local 54 v. Elsinore Shore Associates, </t>
  </si>
  <si>
    <t>173 F.3d 175, 1999 WL 198489, 14 IER Cases 1633, C.A.3 (N.J.), March 31, 1999 (NO. 97-5789, 98-5116)</t>
  </si>
  <si>
    <t xml:space="preserve">Kapral v. U.S., </t>
  </si>
  <si>
    <t>166 F.3d 565, 1999 WL 42077, C.A.3 (N.J.), February 02, 1999 (NO. 97-5545)</t>
  </si>
  <si>
    <t xml:space="preserve">Fotta v. Trustees of United Mine Workers of America, Health &amp; Retirement Fund of 1974, </t>
  </si>
  <si>
    <t>165 F.3d 209, 1998 WL 884503, 22 Employee Benefits Cas. 2169, Pens. Plan Guide (CCH) P 23950A, C.A.3 (Pa.), December 18, 1998 (NO. 97-3619, 97-3663)</t>
  </si>
  <si>
    <t xml:space="preserve">Sandoval v. Reno, </t>
  </si>
  <si>
    <t>166 F.3d 225, 1999 WL 31489, C.A.3 (Pa.), January 26, 1999 (NO. 98-1547, 98-3214, 98-1099)</t>
  </si>
  <si>
    <t xml:space="preserve">Alexander v. University of Pittsburgh Medical Center System, </t>
  </si>
  <si>
    <t>185 F.3d 141, 1999 WL 521753, C.A.3 (Pa.), July 23, 1999 (NO. 98-3402, 98-3501)</t>
  </si>
  <si>
    <t xml:space="preserve">Orson, Inc. v. Miramax Film Corp., </t>
  </si>
  <si>
    <t>174 F.3d 377, 1999 WL 243617, 254 Copr.L.Dec. P 27,896, 50 U.S.P.Q.2d 1580, 27 Media L. Rep. 1993, Withdrawn for N.R.S. bound volume, C.A.3 (Pa.), April 27, 1999 (NO. 97-1994)</t>
  </si>
  <si>
    <t xml:space="preserve">U.S. v. Pitt, </t>
  </si>
  <si>
    <t>193 F.3d 751, 1999 WL 781787, C.A.3 (Pa.), October 01, 1999 (NO. 98-7383, 98-7497)</t>
  </si>
  <si>
    <t xml:space="preserve">In re U.S. Healthcare, Inc., </t>
  </si>
  <si>
    <t>193 F.3d 151, 1999 WL 728474, 23 Employee Benefits Cas. 1681, Pens. Plan Guide (CCH) P 23958V, C.A.3 (N.J.), September 16, 1999 (NO. 98-5262, 98-5263, 98-5222)</t>
  </si>
  <si>
    <t xml:space="preserve">In re Blatstein, </t>
  </si>
  <si>
    <t>192 F.3d 88, 1999 WL 685803, 42 Collier Bankr.Cas.2d 1350, 34 Bankr.Ct.Dec. 1198, C.A.3 (Pa.), September 03, 1999 (NO. 98-1972, 97-CV-07066, 97-CV-07063, 97-CV-07069, 97-CV-07064, 97-CV-07070)</t>
  </si>
  <si>
    <t xml:space="preserve">U.S. v. Sharma, </t>
  </si>
  <si>
    <t>190 F.3d 220, 1999 WL 669774, C.A.3 (Pa.), August 30, 1999 (NO. 98-7408, 98-7454, 98-7409, 98-7410)</t>
  </si>
  <si>
    <t xml:space="preserve">DeSousa v. Reno, </t>
  </si>
  <si>
    <t>190 F.3d 175, 1999 WL 643171, C.A.3 (Pa.), August 25, 1999 (NO. 99-1115)</t>
  </si>
  <si>
    <t xml:space="preserve">Noorily v. Thomas &amp; Betts Corp., </t>
  </si>
  <si>
    <t>188 F.3d 153, 1999 WL 643363, 178 A.L.R. Fed. 633, 24 Employee Benefits Cas. 1512, Pens. Plan Guide (CCH) P 23956P, C.A.3 (N.J.), August 25, 1999 (NO. 98-6328, 98-6432, 98-6298)</t>
  </si>
  <si>
    <t>189 F.3d 377, 1999 WL 636925, 1999 Copr.L.Dec. P 27,945, 51 U.S.P.Q.2d 1818, 27 Media L. Rep. 2322, C.A.3 (Pa.), August 20, 1999 (NO. 97-1994)</t>
  </si>
  <si>
    <t xml:space="preserve">International Union, United Auto., Aerospace &amp; Agr. Implement Workers of America, U.A.W. v. Skinner Engine Co., </t>
  </si>
  <si>
    <t>188 F.3d 130, 1999 WL 596345, 161 L.R.R.M. (BNA) 3144, 139 Lab.Cas. P 10,505, 23 Employee Benefits Cas. 2022, C.A.3 (Pa.), August 10, 1999 (NO. 98-3461)</t>
  </si>
  <si>
    <t xml:space="preserve">Plummer v. Apfel, </t>
  </si>
  <si>
    <t>186 F.3d 422, 1999 WL 571062, 63 Soc.Sec.Rep.Serv. 264, Unempl.Ins.Rep. (CCH) P 16232B, C.A.3 (Pa.), August 05, 1999 (NO. 98-1825)</t>
  </si>
  <si>
    <t xml:space="preserve">Lucent Information Management, Inc. v. Lucent Technologies, Inc., </t>
  </si>
  <si>
    <t>186 F.3d 311, 1999 WL 562673, 51 U.S.P.Q.2d 1545, C.A.3 (Del.), August 03, 1999 (NO. 98-7203)</t>
  </si>
  <si>
    <t xml:space="preserve">U.S. v. Fordham, </t>
  </si>
  <si>
    <t>187 F.3d 344, 1999 WL 553842, C.A.3 (Pa.), July 30, 1999 (NO. 99-3132)</t>
  </si>
  <si>
    <t xml:space="preserve">In re O'Brien Environmental Energy, Inc., </t>
  </si>
  <si>
    <t>181 F.3d 527, 1999 WL 504723, 34 Bankr.Ct.Dec. 879, C.A.3 (N.J.), July 19, 1999 (NO. 98-6151)</t>
  </si>
  <si>
    <t>185 F.3d 112, 1999 WL 499881, C.A.3 (Pa.), July 16, 1999 (NO. 98-1260, 98-1860, 98-1968, 98-1302, 98-1541, 98-1716)</t>
  </si>
  <si>
    <t xml:space="preserve">Tourscher v. McCullough, </t>
  </si>
  <si>
    <t>184 F.3d 236, 1999 WL 482785, 138 Lab.Cas. P 33,917, C.A.3 (Pa.), July 12, 1999 (NO. 97-3671, 98-3499)</t>
  </si>
  <si>
    <t xml:space="preserve">Kleissler v. U.S. Forest Service, </t>
  </si>
  <si>
    <t>183 F.3d 196, 1999 WL 437282, 48 ERC 1897, 29 Envtl. L. Rep. 21,358, C.A.3 (Pa.), June 30, 1999 (NO. 98-3352)</t>
  </si>
  <si>
    <t xml:space="preserve">In re Resorts Intern., Inc., </t>
  </si>
  <si>
    <t>181 F.3d 505, 1999 WL 437293, 34 Bankr.Ct.Dec. 736, Bankr. L. Rep. P 77,952, C.A.3 (N.J.), June 30, 1999 (NO. 98-6037)</t>
  </si>
  <si>
    <t xml:space="preserve">Beidleman v. Stroh Brewery Co., </t>
  </si>
  <si>
    <t>182 F.3d 225, 1999 WL 431118, 161 L.R.R.M. (BNA) 2656, 138 Lab.Cas. P 10,471, C.A.3 (Pa.), June 29, 1999 (NO. 98-1420)</t>
  </si>
  <si>
    <t xml:space="preserve">Shell Petroleum, Inc. v. U.S., </t>
  </si>
  <si>
    <t>182 F.3d 212, 1999 WL 424362, 83 A.F.T.R.2d 99-2931, 99-2 USTC P 50,622, 142 Oil &amp; Gas Rep. 623, C.A.3 (Del.), June 24, 1999 (NO. 97-7639)</t>
  </si>
  <si>
    <t xml:space="preserve">Rego v. ARC Water Treatment Co. of Pennsylvania, </t>
  </si>
  <si>
    <t>181 F.3d 396, 1999 WL 424365, 80 Fair Empl.Prac.Cas. (BNA) 311, C.A.3 (Pa.), June 24, 1999 (NO. 98-1616, 98-1386)</t>
  </si>
  <si>
    <t xml:space="preserve">Cooper Distributing Co., Inc. v. Amana Refrigeration, Inc., </t>
  </si>
  <si>
    <t>180 F.3d 542, 1999 WL 398879, C.A.3 (N.J.), June 18, 1999 (NO. 98-6400)</t>
  </si>
  <si>
    <t xml:space="preserve">In re First Jersey Securities, Inc., </t>
  </si>
  <si>
    <t>180 F.3d 504, 1999 WL 374368, 34 Bankr.Ct.Dec. 638, Bankr. L. Rep. P 77,940, C.A.3 (N.J.), June 10, 1999 (NO. 98-5236, 98-5290)</t>
  </si>
  <si>
    <t xml:space="preserve">Express Services, Inc. v. Careers Exp. Staffing Services, </t>
  </si>
  <si>
    <t>176 F.3d 183, 1999 WL 286078, 50 U.S.P.Q.2d 1693, C.A.3 (Pa.), May 10, 1999 (NO. 98-1013)</t>
  </si>
  <si>
    <t xml:space="preserve">Connecticut General Life Ins. Co. v. C.I.R., </t>
  </si>
  <si>
    <t>177 F.3d 136, 1999 WL 270554, 83 A.F.T.R.2d 99-2142, 99-1 USTC P 50,500, C.A.3, April 30, 1999 (NO. 97-7612, 97-7619)</t>
  </si>
  <si>
    <t xml:space="preserve">Bayer AG v. Betachem, Inc., </t>
  </si>
  <si>
    <t>173 F.3d 188, 1999 WL 203722, 43 Fed.R.Serv.3d 425, 50 U.S.P.Q.2d 1380, C.A.3 (N.J.), April 12, 1999 (NO. 98-6427)</t>
  </si>
  <si>
    <t xml:space="preserve">U.S. v. Dorsey, </t>
  </si>
  <si>
    <t>174 F.3d 331, 1999 WL 188249, C.A.3 (Pa.), April 06, 1999 (NO. 98-7335)</t>
  </si>
  <si>
    <t xml:space="preserve">Ridgewood Bd. of Educ. v. N.E. ex rel. M.E., </t>
  </si>
  <si>
    <t>172 F.3d 238, 1999 WL 171274, 133 Ed. Law Rep. 748, C.A.3 (N.J.), March 30, 1999 (NO. 98-6276)</t>
  </si>
  <si>
    <t xml:space="preserve">American Disabled for Attendant Programs Today v. U.S. Dept. of Housing and Urban Development, </t>
  </si>
  <si>
    <t>170 F.3d 381, 1999 WL 116278, 14 NDLR P 253, C.A.3 (Pa.), March 05, 1999 (NO. 98-1308)</t>
  </si>
  <si>
    <t xml:space="preserve">AMP Inc. v. AlliedSignal Corp., </t>
  </si>
  <si>
    <t>168 F.3d 649, 1999 WL 86843, C.A.3 (Pa.), February 18, 1999 (NO. 98-2019)</t>
  </si>
  <si>
    <t xml:space="preserve">A.S. Goldmen &amp; Co., Inc. v. New Jersey Bureau of Securities, </t>
  </si>
  <si>
    <t>163 F.3d 780, 1999 WL 3951, Blue Sky L. Rep. P 74,175, C.A.3 (N.J.), January 07, 1999 (NO. 97-5618)</t>
  </si>
  <si>
    <t xml:space="preserve">Newport Associates Development Co. v. Travelers Indem. Co. of Illinois, </t>
  </si>
  <si>
    <t>162 F.3d 789, 1998 WL 902068, C.A.3 (N.J.), December 29, 1998 (NO. 97-5527)</t>
  </si>
  <si>
    <t xml:space="preserve">Fultz v. Dunn, </t>
  </si>
  <si>
    <t>165 F.3d 215, 1998 WL 887786, C.A.3 (Pa.), December 21, 1998 (NO. 97-7378, 97-7503)</t>
  </si>
  <si>
    <t xml:space="preserve">S.E.C. v. Black, </t>
  </si>
  <si>
    <t>163 F.3d 188, 1998 WL 880974, Fed. Sec. L. Rep. P 90,343, C.A.3 (Pa.), December 17, 1998 (NO. 98-3345)</t>
  </si>
  <si>
    <t xml:space="preserve">Torres v. McLaughlin, </t>
  </si>
  <si>
    <t>163 F.3d 169, 1998 WL 865960, C.A.3 (Pa.), December 15, 1998 (NO. 97-1476)</t>
  </si>
  <si>
    <t xml:space="preserve">Authorized Foreign Car Specialists of Westfield, Inc. v. Jaguar Cars, Inc., </t>
  </si>
  <si>
    <t>Not Reported in F.3d, 1998 WL 34347444, C.A.3 (N.J.), November 16, 1998 (NO. 98-6008)</t>
  </si>
  <si>
    <t xml:space="preserve">Hassine v. Zimmerman, </t>
  </si>
  <si>
    <t>160 F.3d 941, 1998 WL 775248, C.A.3 (Pa.), November 09, 1998 (NO. 97-1969)</t>
  </si>
  <si>
    <t>159 F.3d 147, 1998 WL 753183, C.A.3 (Pa.), October 29, 1998 (NO. 98-7057)</t>
  </si>
  <si>
    <t xml:space="preserve">U.S. v. Parise, </t>
  </si>
  <si>
    <t>159 F.3d 790, 1998 WL 749258, 159 L.R.R.M. (BNA) 2670, C.A.3 (Pa.), October 28, 1998 (NO. 97-1740)</t>
  </si>
  <si>
    <t xml:space="preserve">ACM Partnership v. C.I.R., </t>
  </si>
  <si>
    <t>157 F.3d 231, 1998 WL 710617, 82 A.F.T.R.2d 98-6682, 98-2 USTC P 50,790, C.A.3, October 13, 1998 (NO. 97-7484, 97-7527)</t>
  </si>
  <si>
    <t xml:space="preserve">U.S. v. Rodriguez-Moreno, </t>
  </si>
  <si>
    <t>526 U.S. 275, 119 S.Ct. 1239, 1999 WL 168547, 143 L.Ed.2d 388, 67 USLW 4219, 99 Cal. Daily Op. Serv. 2275, 1999 Daily Journal D.A.R. 2965, 12 Fla. L. Weekly Fed. S 175, U.S.N.J., March 30, 1999 (NO. 97-1139)</t>
  </si>
  <si>
    <t xml:space="preserve">Homar v. Gilbert, </t>
  </si>
  <si>
    <t>63 F.Supp.2d 559, 1999 WL 705140, 138 Ed. Law Rep. 1087, M.D.Pa., September 03, 1999 (NO. 3:CV-93-852)</t>
  </si>
  <si>
    <t xml:space="preserve">Khodara Environmental, Inc. ex rel. Eagle Environmental, L.P. v. Beckman, </t>
  </si>
  <si>
    <t>91 F.Supp.2d 827, 1999 WL 1611439, W.D.Pa., March 31, 1999 (NO. CIV.A.97-93ERIE)</t>
  </si>
  <si>
    <t>1998 Term (10/5/1998 - 10/3/1999)</t>
  </si>
  <si>
    <t>MIP Check</t>
    <phoneticPr fontId="0" type="noConversion"/>
  </si>
  <si>
    <t>Unamious Check (only counts if no other opinions)</t>
    <phoneticPr fontId="0" type="noConversion"/>
  </si>
  <si>
    <t>129 S. Ct. 808</t>
  </si>
  <si>
    <t>172 L. Ed. 2d 565</t>
  </si>
  <si>
    <t>2009 U.S. LEXIS 591</t>
  </si>
  <si>
    <t>07-751</t>
  </si>
  <si>
    <t>CORDELL PEARSON, et al. v. AFTON CALLAHAN</t>
  </si>
  <si>
    <t>129 S. Ct. 788</t>
  </si>
  <si>
    <t>172 L. Ed. 2d 582</t>
  </si>
  <si>
    <t>2009 U.S. LEXIS 592</t>
  </si>
  <si>
    <t>07-1125</t>
  </si>
  <si>
    <t>LISA FITZGERALD, et vir v. BARNSTABLE SCHOOL COMMITTEE et al.</t>
  </si>
  <si>
    <t>129 S. Ct. 1436</t>
  </si>
  <si>
    <t>173 L. Ed. 2d 333</t>
  </si>
  <si>
    <t>2009 U.S. LEXIS 2494</t>
  </si>
  <si>
    <t>07-1372</t>
  </si>
  <si>
    <t>HAWAII et al. v. OFFICE OF HAWAIIAN AFFAIRS et al.</t>
  </si>
  <si>
    <t>129 S. Ct. 1125</t>
  </si>
  <si>
    <t>172 L. Ed. 2d 853</t>
  </si>
  <si>
    <t>2009 U.S. LEXIS 1636</t>
  </si>
  <si>
    <t>07-665</t>
  </si>
  <si>
    <t>PLEASANT GROVE CITY, UTAH et al. v. SUMMUM</t>
  </si>
  <si>
    <t>129 S. Ct. 1294</t>
  </si>
  <si>
    <t>173 L. Ed. 2d 245</t>
  </si>
  <si>
    <t>2009 U.S. LEXIS 1779</t>
  </si>
  <si>
    <t>105, Orig.</t>
  </si>
  <si>
    <t>STATE OF KANSAS, PLAINTIFF v. STATE OF COLORADO</t>
  </si>
  <si>
    <t>129 S. Ct. 2237</t>
  </si>
  <si>
    <t>173 L. Ed. 2d 1265</t>
  </si>
  <si>
    <t>2009 U.S. LEXIS 4159</t>
  </si>
  <si>
    <t>07-1309</t>
  </si>
  <si>
    <t>EDMUND BOYLE v. UNITED STATES</t>
  </si>
  <si>
    <t>129 S. Ct. 2579</t>
  </si>
  <si>
    <t>174 L. Ed. 2d 406</t>
  </si>
  <si>
    <t>2009 U.S. LEXIS 4733</t>
  </si>
  <si>
    <t>08-289</t>
  </si>
  <si>
    <t>THOMAS C. HORNE, SUPERINTENDENT, ARIZONA PUBLIC INSTRUCTION v. MIRIAM FLORES et al.</t>
  </si>
  <si>
    <t>129 S. Ct. 1187</t>
  </si>
  <si>
    <t>173 L. Ed. 2d 51</t>
  </si>
  <si>
    <t>2009 U.S. LEXIS 1774</t>
  </si>
  <si>
    <t>06-1249</t>
  </si>
  <si>
    <t>WYETH v. DIANA LEVINE</t>
  </si>
  <si>
    <t>129 S. Ct. 1558</t>
  </si>
  <si>
    <t>173 L. Ed. 2d 443</t>
  </si>
  <si>
    <t>2009 U.S. LEXIS 2512</t>
  </si>
  <si>
    <t>07-10441</t>
  </si>
  <si>
    <t>JOHNNIE CORLEY v. UNITED STATES</t>
  </si>
  <si>
    <t>129 S. Ct. 1710</t>
  </si>
  <si>
    <t>173 L. Ed. 2d 485</t>
  </si>
  <si>
    <t>2009 U.S. LEXIS 3120</t>
  </si>
  <si>
    <t>07-542</t>
  </si>
  <si>
    <t>ARIZONA v. RODNEY JOSEPH GANT</t>
  </si>
  <si>
    <t>129 S. Ct. 1749</t>
  </si>
  <si>
    <t>173 L. Ed. 2d 550</t>
  </si>
  <si>
    <t>2009 U.S. LEXIS 3121</t>
  </si>
  <si>
    <t>08-681</t>
  </si>
  <si>
    <t>JEAN MARC NKEN v. ERIC H. HOLDER, JR., ATTORNEY GENERAL</t>
  </si>
  <si>
    <t>129 S. Ct. 2360</t>
  </si>
  <si>
    <t>174 L. Ed. 2d 78</t>
  </si>
  <si>
    <t>2009 U.S. LEXIS 4538</t>
  </si>
  <si>
    <t>08-67</t>
  </si>
  <si>
    <t>F. SCOTT YEAGER v. UNITED STATES</t>
  </si>
  <si>
    <t>129 S. Ct. 2561</t>
  </si>
  <si>
    <t>174 L. Ed. 2d 382</t>
  </si>
  <si>
    <t>2009 U.S. LEXIS 4732</t>
  </si>
  <si>
    <t>08-214</t>
  </si>
  <si>
    <t>ATLANTIC SOUNDING CO., INC., et al. v. EDGAR L. TOWNSEND</t>
  </si>
  <si>
    <t>129 S. Ct. 798</t>
  </si>
  <si>
    <t>172 L. Ed. 2d 552</t>
  </si>
  <si>
    <t>2009 U.S. LEXIS 590</t>
  </si>
  <si>
    <t>07-610</t>
  </si>
  <si>
    <t>DANIEL B. LOCKE, et al. v. EDWARD A. KARASS, STATE CONTROLLER, et al.</t>
  </si>
  <si>
    <t>129 S. Ct. 2079</t>
  </si>
  <si>
    <t>173 L. Ed. 2d 955</t>
  </si>
  <si>
    <t>2009 U.S. LEXIS 3973</t>
  </si>
  <si>
    <t>07-1529</t>
  </si>
  <si>
    <t>JESSE JAY MONTEJO v. LOUISIANA</t>
  </si>
  <si>
    <t>129 S. Ct. 2277</t>
  </si>
  <si>
    <t>174 L. Ed. 2d 1</t>
  </si>
  <si>
    <t>2009 U.S. LEXIS 4319</t>
  </si>
  <si>
    <t>08-310</t>
  </si>
  <si>
    <t>POLAR TANKERS, INC. v. CITY OF VALDEZ, ALASKA</t>
  </si>
  <si>
    <t>129 S. Ct. 2308</t>
  </si>
  <si>
    <t>174 L. Ed. 2d 38</t>
  </si>
  <si>
    <t>2009 U.S. LEXIS 4536</t>
  </si>
  <si>
    <t>08-6</t>
  </si>
  <si>
    <t>DISTRICT ATTORNEY'S OFFICE FOR THE THIRD JUDICIAL DISTRICT, et al. v. WILLIAM G. OSBORNE</t>
  </si>
  <si>
    <t>129 S. Ct. 2658</t>
  </si>
  <si>
    <t>174 L. Ed. 2d 490</t>
  </si>
  <si>
    <t>2009 U.S. LEXIS 4945</t>
  </si>
  <si>
    <t>07-1428</t>
  </si>
  <si>
    <t>FRANK RICCI, et al. v. JOHN DESTEFANO et al.</t>
  </si>
  <si>
    <t>129 S. Ct. 687</t>
  </si>
  <si>
    <t>172 L. Ed. 2d 484</t>
  </si>
  <si>
    <t>2009 U.S. LEXIS 580</t>
  </si>
  <si>
    <t>06-11206</t>
  </si>
  <si>
    <t>DEONDERY CHAMBERS v. UNITED STATES</t>
  </si>
  <si>
    <t>129 S. Ct. 846</t>
  </si>
  <si>
    <t>172 L. Ed. 2d 650</t>
  </si>
  <si>
    <t>2009 U.S. LEXIS 870</t>
  </si>
  <si>
    <t>06-1595</t>
  </si>
  <si>
    <t>VICKY S. CRAWFORD v. METROPOLITAN GOVERNMENT OF NASHVILLE AND DAVIDSON COUNTY, TENNESSEE</t>
  </si>
  <si>
    <t>129 S. Ct. 1769</t>
  </si>
  <si>
    <t>173 L. Ed. 2d 701</t>
  </si>
  <si>
    <t>2009 U.S. LEXIS 3298</t>
  </si>
  <si>
    <t>07-1114</t>
  </si>
  <si>
    <t>GARY BRADFORD CONE v. RICKY BELL, WARDEN</t>
  </si>
  <si>
    <t>129 S. Ct. 1886</t>
  </si>
  <si>
    <t>173 L. Ed. 2d 853</t>
  </si>
  <si>
    <t>2009 U.S. LEXIS 3305</t>
  </si>
  <si>
    <t>08-108</t>
  </si>
  <si>
    <t>IGNACIO CARLOS FLORES-FIGUEROA v. UNITED STATES</t>
  </si>
  <si>
    <t>129 S. Ct. 365</t>
  </si>
  <si>
    <t>172 L. Ed. 2d 249</t>
  </si>
  <si>
    <t>2008 U.S. LEXIS 8343</t>
  </si>
  <si>
    <t>07-1239</t>
  </si>
  <si>
    <t>DONALD C. WINTER, SECRETARY OF THE NAV., et al. v. NATURAL RESOURCES DEFENSE COUNCIL, INC., et al.</t>
  </si>
  <si>
    <t>129 S. Ct. 538</t>
  </si>
  <si>
    <t>172 L. Ed. 2d 398</t>
  </si>
  <si>
    <t>2008 U.S. LEXIS 9127</t>
  </si>
  <si>
    <t>07-562</t>
  </si>
  <si>
    <t>ALTRIA GROUP, INC., et al. v. STEPHANIE GOOD et al.</t>
  </si>
  <si>
    <t>129 S. Ct. 681</t>
  </si>
  <si>
    <t>172 L. Ed. 2d 475</t>
  </si>
  <si>
    <t>2009 U.S. LEXIS 579</t>
  </si>
  <si>
    <t>07-6984</t>
  </si>
  <si>
    <t>CARLOS JIMENEZ v. NATHANIEL QUARTERMAN, DIRECTOR, TEXAS DEPARTMENT OF CRIMINAL JUSTICE, CORRECTIONAL INSTITUTIONS DIVISION</t>
  </si>
  <si>
    <t>129 S. Ct. 695</t>
  </si>
  <si>
    <t>172 L. Ed. 2d 496</t>
  </si>
  <si>
    <t>2009 U.S. LEXIS 581</t>
  </si>
  <si>
    <t>07-513</t>
  </si>
  <si>
    <t>BENNIE DEAN HERRING v. UNITED STATES</t>
  </si>
  <si>
    <t>129 S. Ct. 711</t>
  </si>
  <si>
    <t>172 L. Ed. 2d 517</t>
  </si>
  <si>
    <t>2009 U.S. LEXIS 582</t>
  </si>
  <si>
    <t>07-901</t>
  </si>
  <si>
    <t>OREGON v. THOMAS EUGENE ICE</t>
  </si>
  <si>
    <t>129 S. Ct. 823</t>
  </si>
  <si>
    <t>172 L. Ed. 2d 532</t>
  </si>
  <si>
    <t>2009 U.S. LEXIS 867</t>
  </si>
  <si>
    <t>07-772</t>
  </si>
  <si>
    <t>DOUG WADDINGTON, SUPERINTENDENT, WASHINGTON CORRECTIONS CENTER v. CESAR SARAUSAD</t>
  </si>
  <si>
    <t>129 S. Ct. 865</t>
  </si>
  <si>
    <t>172 L. Ed. 2d 662</t>
  </si>
  <si>
    <t>2009 U.S. LEXIS 869</t>
  </si>
  <si>
    <t>07-636</t>
  </si>
  <si>
    <t>KARI E. KENNEDY, EXECUTRIX OF THE ESTATE OF WILLIAM PATRICK KENNEDY, DECEASED v. PLAN ADMINISTRATOR FOR DUPONT SAVINGS AND INVESTMENT PLAN et al.</t>
  </si>
  <si>
    <t>129 S. Ct. 878</t>
  </si>
  <si>
    <t>172 L. Ed. 2d 679</t>
  </si>
  <si>
    <t>2009 U.S. LEXIS 871</t>
  </si>
  <si>
    <t>07-1059</t>
  </si>
  <si>
    <t>UNITED STATES v. EURODIF S. A. et al.</t>
  </si>
  <si>
    <t>129 S. Ct. 781</t>
  </si>
  <si>
    <t>172 L. Ed. 2d 694</t>
  </si>
  <si>
    <t>2009 U.S. LEXIS 868</t>
  </si>
  <si>
    <t>07-1122</t>
  </si>
  <si>
    <t>ARIZONA v. LEMON MONTREA JOHNSON</t>
  </si>
  <si>
    <t>129 S. Ct. 855</t>
  </si>
  <si>
    <t>172 L. Ed. 2d 706</t>
  </si>
  <si>
    <t>2009 U.S. LEXIS 1003</t>
  </si>
  <si>
    <t>07-854</t>
  </si>
  <si>
    <t>JOHN VAN DE KAMP, et al. v. THOMAS LEE GOLDSTEIN</t>
  </si>
  <si>
    <t>129 S. Ct. 1093</t>
  </si>
  <si>
    <t>172 L. Ed. 2d 770</t>
  </si>
  <si>
    <t>2009 U.S. LEXIS 1632</t>
  </si>
  <si>
    <t>07-869</t>
  </si>
  <si>
    <t>BEN YSURSA, IDAHO SECRETARY OF STATE, et al. v. POCATELLO EDUCATION ASSOCIATION et al.</t>
  </si>
  <si>
    <t>129 S. Ct. 1058</t>
  </si>
  <si>
    <t>172 L. Ed. 2d 791</t>
  </si>
  <si>
    <t>2009 U.S. LEXIS 1633</t>
  </si>
  <si>
    <t>07-526</t>
  </si>
  <si>
    <t>DONALD L. CARCIERI, GOVERNOR OF RHODE ISLAND, et al. v. KEN L. SALAZAR, SECRETARY OF THE INTERIOR, et al.</t>
  </si>
  <si>
    <t>129 S. Ct. 1079</t>
  </si>
  <si>
    <t>172 L. Ed. 2d 816</t>
  </si>
  <si>
    <t>2009 U.S. LEXIS 1634</t>
  </si>
  <si>
    <t>07-608</t>
  </si>
  <si>
    <t>UNITED STATES v. RANDY EDWARD HAYES</t>
  </si>
  <si>
    <t>129 S. Ct. 1109</t>
  </si>
  <si>
    <t>172 L. Ed. 2d 836</t>
  </si>
  <si>
    <t>2009 U.S. LEXIS 1635</t>
  </si>
  <si>
    <t>07-512</t>
  </si>
  <si>
    <t>PACIFIC BELL TELEPHONE COMPANY, DBA AT&amp;T CALIFORNIA et al. v. LINKLINE COMMUNICATIONS, INC., et al.</t>
  </si>
  <si>
    <t>129 S. Ct. 1142</t>
  </si>
  <si>
    <t>173 L. Ed. 2d 1</t>
  </si>
  <si>
    <t>2009 U.S. LEXIS 1769</t>
  </si>
  <si>
    <t>07-463</t>
  </si>
  <si>
    <t>PRISCILLA SUMMERS et al. v. EARTH ISLAND INSTITUTE et al.</t>
  </si>
  <si>
    <t>129 S. Ct. 1159</t>
  </si>
  <si>
    <t>173 L. Ed. 2d 20</t>
  </si>
  <si>
    <t>2009 U.S. LEXIS 1768</t>
  </si>
  <si>
    <t>07-499</t>
  </si>
  <si>
    <t>DANIEL GIRMAI NEGUSIE v. ERIC H. HOLDER, JR., ATTORNEY GENERAL</t>
  </si>
  <si>
    <t>129 S. Ct. 1262</t>
  </si>
  <si>
    <t>173 L. Ed. 2d 206</t>
  </si>
  <si>
    <t>2009 U.S. LEXIS 1781</t>
  </si>
  <si>
    <t>07-773</t>
  </si>
  <si>
    <t>BETTY E. VADEN v. DISCOVER BANK et al.</t>
  </si>
  <si>
    <t>129 S. Ct. 1283</t>
  </si>
  <si>
    <t>173 L. Ed. 2d 231</t>
  </si>
  <si>
    <t>2009 U.S. LEXIS 1780</t>
  </si>
  <si>
    <t>08-88</t>
  </si>
  <si>
    <t>VERMONT v. MICHAEL BRILLON</t>
  </si>
  <si>
    <t>129 S. Ct. 1411</t>
  </si>
  <si>
    <t>173 L. Ed. 2d 251</t>
  </si>
  <si>
    <t>2009 U.S. LEXIS 2329</t>
  </si>
  <si>
    <t>07-1315</t>
  </si>
  <si>
    <t>MICHAEL A. KNOWLES, WARDEN v. ALEXANDRE MIRZAYANCE</t>
  </si>
  <si>
    <t>129 S. Ct. 1423</t>
  </si>
  <si>
    <t>173 L. Ed. 2d 266</t>
  </si>
  <si>
    <t>2009 U.S. LEXIS 2330</t>
  </si>
  <si>
    <t>07-9712</t>
  </si>
  <si>
    <t>JAMES BENJAMIN PUCKETT v. UNITED STATES</t>
  </si>
  <si>
    <t>129 S. Ct. 1446</t>
  </si>
  <si>
    <t>173 L. Ed. 2d 320</t>
  </si>
  <si>
    <t>2009 U.S. LEXIS 2495</t>
  </si>
  <si>
    <t>07-9995</t>
  </si>
  <si>
    <t>MICHAEL RIVERA v. ILLINOIS</t>
  </si>
  <si>
    <t>129 S. Ct. 1481</t>
  </si>
  <si>
    <t>173 L. Ed. 2d 347</t>
  </si>
  <si>
    <t>2009 U.S. LEXIS 2496</t>
  </si>
  <si>
    <t>07-8521</t>
  </si>
  <si>
    <t>EDWARD JEROME HARBISON v. RICKY BELL, WARDEN</t>
  </si>
  <si>
    <t>129 S. Ct. 1498</t>
  </si>
  <si>
    <t>173 L. Ed. 2d 369</t>
  </si>
  <si>
    <t>2009 U.S. LEXIS 2498</t>
  </si>
  <si>
    <t>07-588</t>
  </si>
  <si>
    <t>ENTERGY CORPORATION v. RIVERKEEPER, INC., et al.</t>
  </si>
  <si>
    <t>129 S. Ct. 1456</t>
  </si>
  <si>
    <t>173 L. Ed. 2d 398</t>
  </si>
  <si>
    <t>2009 U.S. LEXIS 2497</t>
  </si>
  <si>
    <t>07-581</t>
  </si>
  <si>
    <t>14 PENN PLAZA LLC et al. v. STEVEN PYETT et al.</t>
  </si>
  <si>
    <t>129 S. Ct. 1547</t>
  </si>
  <si>
    <t>173 L. Ed. 2d 429</t>
  </si>
  <si>
    <t>2009 U.S. LEXIS 2550</t>
  </si>
  <si>
    <t>07-1410</t>
  </si>
  <si>
    <t>UNITED STATES v. NAVAJO NATION</t>
  </si>
  <si>
    <t>129 S. Ct. 1732</t>
  </si>
  <si>
    <t>173 L. Ed. 2d 511</t>
  </si>
  <si>
    <t>2009 U.S. LEXIS 3118</t>
  </si>
  <si>
    <t>07-615</t>
  </si>
  <si>
    <t>MINISTRY OF DEFENSE AND SUPPORT FOR THE ARMED FORCES OF THE ISLAMIC REPUBLIC OF IRAN v. DARIUSH ELAHI</t>
  </si>
  <si>
    <t>129 S. Ct. 1696</t>
  </si>
  <si>
    <t>173 L. Ed. 2d 532</t>
  </si>
  <si>
    <t>2009 U.S. LEXIS 3119</t>
  </si>
  <si>
    <t>07-1209</t>
  </si>
  <si>
    <t>ERIC K. SHINSEKI, SECRETARY OF VETERANS AFFAIRS v. WOODROW F. SANDERS</t>
  </si>
  <si>
    <t>129 S. Ct. 1800</t>
  </si>
  <si>
    <t>173 L. Ed. 2d 738</t>
  </si>
  <si>
    <t>2009 U.S. LEXIS 3297</t>
  </si>
  <si>
    <t>07-582</t>
  </si>
  <si>
    <t>FEDERAL COMMUNICATIONS COMMISSION, et al. v. FOX TELEVISION STATIONS, INC., et al.</t>
  </si>
  <si>
    <t>129 S. Ct. 1849</t>
  </si>
  <si>
    <t>173 L. Ed. 2d 785</t>
  </si>
  <si>
    <t>2009 U.S. LEXIS 3300</t>
  </si>
  <si>
    <t>08-5274</t>
  </si>
  <si>
    <t>CHRISTOPHER MICHAEL DEAN v. UNITED STATES</t>
  </si>
  <si>
    <t>129 S. Ct. 1841</t>
  </si>
  <si>
    <t>173 L. Ed. 2d 801</t>
  </si>
  <si>
    <t>2009 U.S. LEXIS 3299</t>
  </si>
  <si>
    <t>07-1356</t>
  </si>
  <si>
    <t>KANSAS v. DONNIE RAY VENTRIS</t>
  </si>
  <si>
    <t>129 S. Ct. 1870</t>
  </si>
  <si>
    <t>173 L. Ed. 2d 812</t>
  </si>
  <si>
    <t>2009 U.S. LEXIS 3306</t>
  </si>
  <si>
    <t>07-1601</t>
  </si>
  <si>
    <t>BURLINGTON NORTHERN AND SANTA FE RAILWAY COMPANY, et al. v. UNITED STATES et al.</t>
  </si>
  <si>
    <t>129 S. Ct. 1896</t>
  </si>
  <si>
    <t>173 L. Ed. 2d 832</t>
  </si>
  <si>
    <t>2009 U.S. LEXIS 3463</t>
  </si>
  <si>
    <t>08-146</t>
  </si>
  <si>
    <t>ARTHUR ANDERSEN LLP, et al. v. WAYNE CARLISLE et al.</t>
  </si>
  <si>
    <t>129 S. Ct. 1862</t>
  </si>
  <si>
    <t>173 L. Ed. 2d 843</t>
  </si>
  <si>
    <t>2009 U.S. LEXIS 3304</t>
  </si>
  <si>
    <t>07-1437</t>
  </si>
  <si>
    <t>CARLSBAD TECHNOLOGY, INC. v. HIF BIO, INC., et al.</t>
  </si>
  <si>
    <t>129 S. Ct. 1937</t>
  </si>
  <si>
    <t>173 L. Ed. 2d 868</t>
  </si>
  <si>
    <t>2009 U.S. LEXIS 3472</t>
  </si>
  <si>
    <t>07-1015</t>
  </si>
  <si>
    <t>JOHN D. ASHCROFT, FORMER ATTORNEY GENERAL, et al. v. JAVAID IQBAL et al.</t>
  </si>
  <si>
    <t>129 S. Ct. 1962</t>
  </si>
  <si>
    <t>173 L. Ed. 2d 898</t>
  </si>
  <si>
    <t>2009 U.S. LEXIS 3470</t>
  </si>
  <si>
    <t>07-543</t>
  </si>
  <si>
    <t>AT&amp;T CORPORATION v. NOREEN HULTEEN et al.</t>
  </si>
  <si>
    <t>129 S. Ct. 2108</t>
  </si>
  <si>
    <t>173 L. Ed. 2d 920</t>
  </si>
  <si>
    <t>2009 U.S. LEXIS 3807</t>
  </si>
  <si>
    <t>07-10374</t>
  </si>
  <si>
    <t>KEITH HAYWOOD v. CURTIS DROWN et al.</t>
  </si>
  <si>
    <t>129 S. Ct. 2102</t>
  </si>
  <si>
    <t>173 L. Ed. 2d 982</t>
  </si>
  <si>
    <t>2009 U.S. LEXIS 3806</t>
  </si>
  <si>
    <t>08-192</t>
  </si>
  <si>
    <t>SALMAN KHADE ABUELHAWA v. UNITED STATES</t>
  </si>
  <si>
    <t>129 S. Ct. 2145</t>
  </si>
  <si>
    <t>173 L. Ed. 2d 1173</t>
  </si>
  <si>
    <t>2009 U.S. LEXIS 3975</t>
  </si>
  <si>
    <t>08-598</t>
  </si>
  <si>
    <t>DAVID BOBBY, WARDEN v. MICHAEL BIES</t>
  </si>
  <si>
    <t>129 S. Ct. 2183</t>
  </si>
  <si>
    <t>173 L. Ed. 2d 1193</t>
  </si>
  <si>
    <t>2009 U.S. LEXIS 4158</t>
  </si>
  <si>
    <t>07-1090</t>
  </si>
  <si>
    <t>REPUBLIC OF IRAQ v. JORDAN BEATY et al.</t>
  </si>
  <si>
    <t>129 S. Ct. 2252</t>
  </si>
  <si>
    <t>173 L. Ed. 2d 1208</t>
  </si>
  <si>
    <t>2009 U.S. LEXIS 4157</t>
  </si>
  <si>
    <t>08-22</t>
  </si>
  <si>
    <t>HUGH M. CAPERTON, et al. v. A. T. MASSEY COAL COMPANY, INC., et al.</t>
  </si>
  <si>
    <t>129 S. Ct. 2213</t>
  </si>
  <si>
    <t>173 L. Ed. 2d 1235</t>
  </si>
  <si>
    <t>2009 U.S. LEXIS 4160</t>
  </si>
  <si>
    <t>08-267</t>
  </si>
  <si>
    <t>UNITED STATES v. JACOB DENEDO</t>
  </si>
  <si>
    <t>129 S. Ct. 2230</t>
  </si>
  <si>
    <t>173 L. Ed. 2d 1255</t>
  </si>
  <si>
    <t>2009 U.S. LEXIS 4316</t>
  </si>
  <si>
    <t>08-660</t>
  </si>
  <si>
    <t>UNITED STATES, ex rel. IRWIN EISENSTEIN v. CITY OF NEW YORK, NEW YORK, et al.</t>
  </si>
  <si>
    <t>129 S. Ct. 2294</t>
  </si>
  <si>
    <t>174 L. Ed. 2d 22</t>
  </si>
  <si>
    <t>2009 U.S. LEXIS 4320</t>
  </si>
  <si>
    <t>08-495</t>
  </si>
  <si>
    <t>MANOJ NIJHAWAN v. ERIC H. HOLDER, JR., ATTORNEY GENERAL</t>
  </si>
  <si>
    <t>129 S. Ct. 2195</t>
  </si>
  <si>
    <t>174 L. Ed. 2d 99</t>
  </si>
  <si>
    <t>2009 U.S. LEXIS 4537</t>
  </si>
  <si>
    <t>08-295</t>
  </si>
  <si>
    <t>THE TRAVELERS INDEMNITY COMPANY, et al. v. PEARLIE BAILEY et al.</t>
  </si>
  <si>
    <t>129 S. Ct. 2343</t>
  </si>
  <si>
    <t>174 L. Ed. 2d 119</t>
  </si>
  <si>
    <t>2009 U.S. LEXIS 4535</t>
  </si>
  <si>
    <t>08-441</t>
  </si>
  <si>
    <t>JACK GROSS v. FBL FINANCIAL SERVICES, INC.</t>
  </si>
  <si>
    <t>129 S. Ct. 2504</t>
  </si>
  <si>
    <t>174 L. Ed. 2d 140</t>
  </si>
  <si>
    <t>2009 U.S. LEXIS 4539</t>
  </si>
  <si>
    <t>08-322</t>
  </si>
  <si>
    <t>NORTHWEST AUSTIN MUNICIPAL UTILITY DISTRICT NUMBER ONE v. ERIC H. HOLDER, JR., ATTORNEY GENERAL, et al.</t>
  </si>
  <si>
    <t>129 S. Ct. 2484</t>
  </si>
  <si>
    <t>174 L. Ed. 2d 168</t>
  </si>
  <si>
    <t>2009 U.S. LEXIS 4645</t>
  </si>
  <si>
    <t>08-305</t>
  </si>
  <si>
    <t>FOREST GROVE SCHOOL DISTRICT v. T. A.</t>
  </si>
  <si>
    <t>129 S. Ct. 2458</t>
  </si>
  <si>
    <t>174 L. Ed. 2d 193</t>
  </si>
  <si>
    <t>2009 U.S. LEXIS 4730</t>
  </si>
  <si>
    <t>07-984</t>
  </si>
  <si>
    <t>COEUR ALASKA, INC. v. SOUTHEAST ALASKA CONSERVATION COUNCIL et al.</t>
  </si>
  <si>
    <t>129 S. Ct. 2527</t>
  </si>
  <si>
    <t>174 L. Ed. 2d 314</t>
  </si>
  <si>
    <t>2009 U.S. LEXIS 4734</t>
  </si>
  <si>
    <t>07-591</t>
  </si>
  <si>
    <t>LUIS E. MELENDEZ-DIAZ v. MASSACHUSETTS</t>
  </si>
  <si>
    <t>129 S. Ct. 2633</t>
  </si>
  <si>
    <t>174 L. Ed. 2d 354</t>
  </si>
  <si>
    <t>2009 U.S. LEXIS 4735</t>
  </si>
  <si>
    <t>08-479</t>
  </si>
  <si>
    <t>SAFFORD UNIFIED SCHOOL DISTRICT #1, et al.v. APRIL REDDING</t>
  </si>
  <si>
    <t>129 S. Ct. 2710</t>
  </si>
  <si>
    <t>174 L. Ed. 2d 464</t>
  </si>
  <si>
    <t>2009 U.S. LEXIS 4944</t>
  </si>
  <si>
    <t>08-453</t>
  </si>
  <si>
    <t>ANDREW M. CUOMO, ATTORNEY GENERAL OF NEW YORK v. THE CLEARING HOUSE ASSOCIATION, L. L. C., et al.</t>
  </si>
  <si>
    <t>129 S. Ct. 1231</t>
  </si>
  <si>
    <t>173 L. Ed. 2d 173</t>
  </si>
  <si>
    <t>2009 U.S. LEXIS 1842</t>
  </si>
  <si>
    <t>07-689</t>
  </si>
  <si>
    <t>GARY BARTLETT, EXECUTIVE DIRECTOR OF THE NORTH CAROLINA STATE BOARD OF ELECTIONS et al. v. DWIGHT STRICKLAND et al.</t>
  </si>
  <si>
    <t>129 S. Ct. 4</t>
  </si>
  <si>
    <t>172 L. Ed. 2d 1</t>
  </si>
  <si>
    <t>2008 U.S. LEXIS 7437</t>
  </si>
  <si>
    <t>07-10689</t>
  </si>
  <si>
    <t>JAMES ERIC MOORE v. UNITED STATES</t>
  </si>
  <si>
    <t>129 S. Ct. 5</t>
  </si>
  <si>
    <t>172 L. Ed. 2d 4</t>
  </si>
  <si>
    <t>2008 U.S. LEXIS 7762</t>
  </si>
  <si>
    <t>08A332</t>
  </si>
  <si>
    <t>JENNIFER BRUNNER, OHIO SECRETARY OF STATE v. OHIO REPUBLICAN PARTY et al.</t>
  </si>
  <si>
    <t>129 S. Ct. 840</t>
  </si>
  <si>
    <t>172 L. Ed. 2d 596</t>
  </si>
  <si>
    <t>2009 U.S. LEXIS 864</t>
  </si>
  <si>
    <t>08-5721</t>
  </si>
  <si>
    <t>STEVEN SPEARS v. UNITED STATES</t>
  </si>
  <si>
    <t>129 S. Ct. 890</t>
  </si>
  <si>
    <t>172 L. Ed. 2d 719</t>
  </si>
  <si>
    <t>2009 U.S. LEXIS 872</t>
  </si>
  <si>
    <t>08-5657</t>
  </si>
  <si>
    <t>LAWRENCE W. NELSON AKA ZIKEE v. UNITED STATES</t>
  </si>
  <si>
    <t>129 S. Ct. 2139</t>
  </si>
  <si>
    <t>173 L. Ed. 2d 1184</t>
  </si>
  <si>
    <t>2009 U.S. LEXIS 3974</t>
  </si>
  <si>
    <t>08-1034</t>
  </si>
  <si>
    <t>CSX TRANSPORTATION, INC. v. THURSTON HENSLEY</t>
  </si>
  <si>
    <t>129 S. Ct. 2275</t>
  </si>
  <si>
    <t>173 L. Ed. 2d 1285</t>
  </si>
  <si>
    <t>2009 U.S. LEXIS 4318</t>
  </si>
  <si>
    <t>08A1096</t>
  </si>
  <si>
    <t>INDIANA STATE POLICE PENSION TRUST et al. v. CHRYSLER LLC et al.</t>
  </si>
  <si>
    <t>129 S. Ct. 393</t>
  </si>
  <si>
    <t>172 L. Ed. 2d 353</t>
  </si>
  <si>
    <t>2008 U.S. LEXIS 8345</t>
  </si>
  <si>
    <t>07-1223</t>
  </si>
  <si>
    <t>EDWARD NATHANIEL BELL v. LORETTA K. KELLY, WARDEN</t>
  </si>
  <si>
    <t>129 S. Ct. 530</t>
  </si>
  <si>
    <t>172 L. Ed. 2d 388</t>
  </si>
  <si>
    <t>2008 U.S. LEXIS 8881</t>
  </si>
  <si>
    <t>07-544</t>
  </si>
  <si>
    <t>ANTHONY HEDGPETH, WARDEN v. MICHAEL ROBERT PULIDO</t>
  </si>
  <si>
    <t>173 L. Ed. 2d 346</t>
  </si>
  <si>
    <t>2009 U.S. LEXIS 2493</t>
  </si>
  <si>
    <t>07-1216</t>
  </si>
  <si>
    <t>PHILIP MORRIS USA INC. v. MAYOLA WILLIAMS, PERSONAL REPRESENTATIVE OF THE ESTATE OF JESSE D. WILLIAMS, DECEASED</t>
  </si>
  <si>
    <t xml:space="preserve">Montejo v. Louisiana, </t>
  </si>
  <si>
    <t>129 S.Ct. 2079, 2009 WL 1443049, 173 L.Ed.2d 955, 77 USLW 4423, 09 Cal. Daily Op. Serv. 6262, 2009 Daily Journal D.A.R. 7345, 21 Fla. L. Weekly Fed. S 863, U.S.La., May 26, 2009 (NO. 07-1529)</t>
  </si>
  <si>
    <t>D,C</t>
  </si>
  <si>
    <t xml:space="preserve">Negusie v. Holder, </t>
  </si>
  <si>
    <t>555 U.S. 511, 129 S.Ct. 1159, 2009 WL 509407, 173 L.Ed.2d 20, 77 USLW 4152, 09 Cal. Daily Op. Serv. 2558, 2009 Daily Journal D.A.R. 3043, 21 Fla. L. Weekly Fed. S 659, U.S., March 03, 2009 (NO. 07-499)</t>
  </si>
  <si>
    <t xml:space="preserve">Chambers v. U.S., </t>
  </si>
  <si>
    <t>555 U.S. 122, 129 S.Ct. 687, 2009 WL 63882, 172 L.Ed.2d 484, 77 USLW 4038, 09 Cal. Daily Op. Serv. 469, 2009 Daily Journal D.A.R. 597, 21 Fla. L. Weekly Fed. S 579, U.S., January 13, 2009 (NO. 06-11206)</t>
  </si>
  <si>
    <t xml:space="preserve">U.S. v. Shim, </t>
  </si>
  <si>
    <t>584 F.3d 394, 2009 WL 3127210, C.A.2 (N.Y.), October 01, 2009 (NO. 08-1834-CR)</t>
  </si>
  <si>
    <t xml:space="preserve">In re Pacific Lumber Co., </t>
  </si>
  <si>
    <t>584 F.3d 229, 2009 WL 3082066, 52 Bankr.Ct.Dec. 46, Bankr. L. Rep. P 81,642, C.A.5 (Tex.), September 29, 2009 (NO. 08-40746)</t>
  </si>
  <si>
    <t xml:space="preserve">U.S. v. Harris, </t>
  </si>
  <si>
    <t>582 F.3d 512, 2009 WL 3018124, C.A.3 (N.J.), September 23, 2009 (NO. 08-1553)</t>
  </si>
  <si>
    <t xml:space="preserve">U.S. v. Bragg, </t>
  </si>
  <si>
    <t>582 F.3d 965, 2009 WL 3018150, 104 A.F.T.R.2d 2009-6567, 2009-2 USTC P 50,651, 09 Cal. Daily Op. Serv. 12,108, 2009 Daily Journal D.A.R. 14,104, C.A.9 (Ariz.), September 23, 2009 (NO. 08-10221)</t>
  </si>
  <si>
    <t xml:space="preserve">U.S. v. Young, </t>
  </si>
  <si>
    <t>580 F.3d 373, 2009 WL 2836620, C.A.6 (Mich.), September 04, 2009 (NO. 08-1394)</t>
  </si>
  <si>
    <t xml:space="preserve">U.S. v. Kratt, </t>
  </si>
  <si>
    <t>579 F.3d 558, 2009 WL 2767152, C.A.6 (Tenn.), September 02, 2009 (NO. 08-5831, 08-5832)</t>
  </si>
  <si>
    <t xml:space="preserve">Siau Pin Hon v. Holder, </t>
  </si>
  <si>
    <t>344 Fed.Appx. 669, 2009 WL 2750661, C.A.2, September 01, 2009 (NO. 08-6171-AG)</t>
  </si>
  <si>
    <t xml:space="preserve">U.S. v. Cox, </t>
  </si>
  <si>
    <t>577 F.3d 833, 2009 WL 2498612, C.A.7 (Ill.), August 18, 2009 (NO. 08-1807)</t>
  </si>
  <si>
    <t xml:space="preserve">Getsy v. Strickland, </t>
  </si>
  <si>
    <t>577 F.3d 320, 2009 WL 2496573, C.A.6, August 17, 2009 (NO. 08-4199)</t>
  </si>
  <si>
    <t xml:space="preserve">Palmer ex rel. Palmer v. Waxahachie Independent School Dist., </t>
  </si>
  <si>
    <t>579 F.3d 502, 2009 WL 2461889, 248 Ed. Law Rep. 579, C.A.5 (Tex.), August 13, 2009 (NO. 08-10903)</t>
  </si>
  <si>
    <t>577 F.3d 309, 2009 WL 2475165, C.A.6 (Ohio), August 13, 2009 (NO. 08-4199)</t>
  </si>
  <si>
    <t>576 F.3d 1060, 2009 WL 2436663, C.A.10 (Kan.), August 11, 2009 (NO. 08-3212)</t>
  </si>
  <si>
    <t xml:space="preserve">Henry v. Ricks, </t>
  </si>
  <si>
    <t>578 F.3d 134, 2009 WL 2424572, C.A.2 (N.Y.), August 10, 2009 (NO. 07-4178-PR)</t>
  </si>
  <si>
    <t xml:space="preserve">Cannon v. Mason, </t>
  </si>
  <si>
    <t>340 Fed.Appx. 495, 2009 WL 2400272, C.A.10 (Okla.), August 06, 2009 (NO. 08-7117)</t>
  </si>
  <si>
    <t xml:space="preserve">Exergen Corp. v. Wal-Mart Stores, Inc., </t>
  </si>
  <si>
    <t>575 F.3d 1312, 2009 WL 2366535, 91 U.S.P.Q.2d 1656, C.A.Fed. (Mass.), August 04, 2009 (NO. 2006-1491, 2007-1180)</t>
  </si>
  <si>
    <t>573 F.3d 548, 2009 WL 2224807, 39 NDLR P 167, C.A.7 (Ind.), July 28, 2009 (NO. 08-3183)</t>
  </si>
  <si>
    <t xml:space="preserve">American Academy of Religion v. Napolitano, </t>
  </si>
  <si>
    <t>573 F.3d 115, 2009 WL 2096225, C.A.2 (N.Y.), July 17, 2009 (NO. 08-0826-CV)</t>
  </si>
  <si>
    <t xml:space="preserve">Szalai v. Holder, </t>
  </si>
  <si>
    <t>572 F.3d 975, 2009 WL 2053190, 09 Cal. Daily Op. Serv. 9016, 2009 Daily Journal D.A.R. 10,581, C.A.9, July 16, 2009 (NO. 06-74994)</t>
  </si>
  <si>
    <t>595 F.3d 478, 2009 WL 1886153, 91 U.S.P.Q.2d 1289, C.A.3 (N.J.), July 02, 2009 (NO. 08-1771, 08-1836, 08-1837)</t>
  </si>
  <si>
    <t xml:space="preserve">U.S. v. Docampo, </t>
  </si>
  <si>
    <t>573 F.3d 1091, 2009 WL 1652910, 21 Fla. L. Weekly Fed. C 1894, C.A.11 (Fla.), June 15, 2009 (NO. 08-10698)</t>
  </si>
  <si>
    <t xml:space="preserve">Thompson v. North American Stainless, LP, </t>
  </si>
  <si>
    <t>567 F.3d 804, 2009 WL 1563443, 106 Fair Empl.Prac.Cas. (BNA) 639, 92 Empl. Prac. Dec. P 43,574, C.A.6 (Ky.), June 05, 2009 (NO. 07-5040)</t>
  </si>
  <si>
    <t>330 Fed.Appx. 409, 2009 WL 1524926, 79 Fed. R. Evid. Serv. 1072, C.A.3 (N.J.), June 02, 2009 (NO. 06-2400, 07-1955)</t>
  </si>
  <si>
    <t>567 F.3d 89, 2009 WL 1508513, 244 Ed. Law Rep. 1023, C.A.3 (Pa.), June 01, 2009 (NO. 07-2967)</t>
  </si>
  <si>
    <t xml:space="preserve">Corder v. Lewis Palmer School Dist. No. 38, </t>
  </si>
  <si>
    <t>566 F.3d 1219, 2009 WL 1492547, 244 Ed. Law Rep. 994, C.A.10 (Colo.), May 29, 2009 (NO. 08-1293)</t>
  </si>
  <si>
    <t>330 Fed.Appx. 353, 2009 WL 1396809, C.A.3 (Pa.), May 20, 2009 (NO. 07-4058)</t>
  </si>
  <si>
    <t>C,D</t>
  </si>
  <si>
    <t xml:space="preserve">U.S. v. Tuyet Thi-Bach Nguyen, </t>
  </si>
  <si>
    <t>565 F.3d 668, 2009 WL 1351306, 09 Cal. Daily Op. Serv. 5925, 2009 Daily Journal D.A.R. 6986, C.A.9 (Wash.), May 15, 2009 (NO. 07-30197)</t>
  </si>
  <si>
    <t xml:space="preserve">Walters v. Norton, </t>
  </si>
  <si>
    <t>326 Fed.Appx. 644, 2009 WL 1353725, C.A.3 (Virgin Islands), May 15, 2009 (NO. 08-2746)</t>
  </si>
  <si>
    <t>M (en banc)</t>
  </si>
  <si>
    <t xml:space="preserve">U.S. v. Harrimon, </t>
  </si>
  <si>
    <t>568 F.3d 531, 2009 WL 1332088, C.A.5 (Tex.), May 14, 2009 (NO. 08-10690)</t>
  </si>
  <si>
    <t xml:space="preserve">Charvat v. GVN Michigan, Inc., </t>
  </si>
  <si>
    <t>561 F.3d 623, 2009 WL 937246, 47 Communications Reg. (P&amp;F) 824, C.A.6 (Ohio), April 09, 2009 (NO. 08-3282)</t>
  </si>
  <si>
    <t xml:space="preserve">Xia Li v. Holder, </t>
  </si>
  <si>
    <t>319 Fed.Appx. 81, 2009 WL 928076, C.A.2, April 07, 2009 (NO. 08-2999-AG)</t>
  </si>
  <si>
    <t xml:space="preserve">U.S. v. Carter, </t>
  </si>
  <si>
    <t>560 F.3d 1107, 2009 WL 805801, 09 Cal. Daily Op. Serv. 3955, 2009 Daily Journal D.A.R. 4781, C.A.9 (Cal.), March 30, 2009 (NO. 05-50303, 05-50321)</t>
  </si>
  <si>
    <t xml:space="preserve">Lafleur v. Louisiana Health Service and Indem. Co., </t>
  </si>
  <si>
    <t>563 F.3d 148, 2009 WL 737408, 46 Employee Benefits Cas. 1593, C.A.5 (La.), March 23, 2009 (NO. 08-30091)</t>
  </si>
  <si>
    <t xml:space="preserve">Pitrolo v. County of Buncombe, N.C., </t>
  </si>
  <si>
    <t>Not Reported in F.3d, 2009 WL 1010634, 105 Fair Empl.Prac.Cas. (BNA) 1675, C.A.4, March 11, 2009 (NO. 07-2145)</t>
  </si>
  <si>
    <t xml:space="preserve">U.S. v. Barron, </t>
  </si>
  <si>
    <t>557 F.3d 866, 2009 WL 538382, C.A.8 (Mo.), March 05, 2009 (NO. 08-1613)</t>
  </si>
  <si>
    <t xml:space="preserve">Mondry v. American Family Mut. Ins. Co., </t>
  </si>
  <si>
    <t>557 F.3d 781, 2009 WL 539861, 46 Employee Benefits Cas. 1403, C.A.7 (Wis.), March 05, 2009 (NO. 07-1109)</t>
  </si>
  <si>
    <t xml:space="preserve">W.R. Grace &amp; Co.-Conn. v. Zotos Intern., Inc., </t>
  </si>
  <si>
    <t>559 F.3d 85, 2009 WL 564048, 68 ERC 1481, C.A.2 (N.Y.), March 04, 2009 (NO. 05-2798-CV)</t>
  </si>
  <si>
    <t xml:space="preserve">U.S. v. Banks, </t>
  </si>
  <si>
    <t>556 F.3d 967, 2009 WL 455491, 09 Cal. Daily Op. Serv. 2296, 2009 Daily Journal D.A.R. 2771, C.A.9 (Idaho), February 25, 2009 (NO. 07-30130)</t>
  </si>
  <si>
    <t xml:space="preserve">U.S. v. Harrison, </t>
  </si>
  <si>
    <t>558 F.3d 1280, 2009 WL 395237, 21 Fla. L. Weekly Fed. C 1546, C.A.11 (Fla.), February 19, 2009 (NO. 08-12636)</t>
  </si>
  <si>
    <t xml:space="preserve">U.S. v. Autery, </t>
  </si>
  <si>
    <t>555 F.3d 864, 2009 WL 349801, 09 Cal. Daily Op. Serv. 1819, 2009 Daily Journal D.A.R. 2204, C.A.9 (Or.), February 13, 2009 (NO. 07-30424)</t>
  </si>
  <si>
    <t xml:space="preserve">U.S. v. Beltran-Moreno, </t>
  </si>
  <si>
    <t>556 F.3d 913, 2009 WL 310915, 09 Cal. Daily Op. Serv. 1631, 09 Cal. Daily Op. Serv. 1633, 2009 Daily Journal D.A.R. 2012, C.A.9 (Ariz.), February 10, 2009 (NO. 07-10370, 07-10368)</t>
  </si>
  <si>
    <t xml:space="preserve">Toll Bros., Inc. v. Township of Readington, </t>
  </si>
  <si>
    <t>555 F.3d 131, 2009 WL 250098, RICO Bus.Disp.Guide 11,623, C.A.3 (N.J.), February 04, 2009 (NO. 06-1053)</t>
  </si>
  <si>
    <t>P</t>
  </si>
  <si>
    <t xml:space="preserve">Ramirez-Altamirano v. Mukasey, </t>
  </si>
  <si>
    <t>554 F.3d 786, 2009 WL 251948, 09 Cal. Daily Op. Serv. 1432, 09 Cal. Daily Op. Serv. 4486, 2009 Daily Journal D.A.R. 5335, 2009 Daily Journal D.A.R. 1695, C.A.9, February 04, 2009 (NO. 06-71445)</t>
  </si>
  <si>
    <t xml:space="preserve">Ramirez-Altamirano v. Holder, </t>
  </si>
  <si>
    <t>563 F.3d 800, 2009 WL 982784, C.A.9, April 14, 2009 (NO. 06-71445)</t>
  </si>
  <si>
    <t xml:space="preserve">Laurence v. Wall, </t>
  </si>
  <si>
    <t>551 F.3d 92, 2008 WL 5352054, C.A.1 (R.I.), December 24, 2008 (NO. 08-1380)</t>
  </si>
  <si>
    <t>553 F.3d 768, 2008 WL 5255903, 78 Fed. R. Evid. Serv. 180, C.A.5 (Tex.), December 18, 2008 (NO. 05-20997)</t>
  </si>
  <si>
    <t>550 F.3d 952, 2008 WL 5158599, C.A.10 (Utah), December 10, 2008 (NO. 06-4284)</t>
  </si>
  <si>
    <t xml:space="preserve">U.S. v. Lawrance, </t>
  </si>
  <si>
    <t>548 F.3d 1329, 2008 WL 5123846, C.A.10 (Okla.), December 08, 2008 (NO. 08-6034)</t>
  </si>
  <si>
    <t xml:space="preserve">Love Korean Church v. Chertoff, </t>
  </si>
  <si>
    <t>549 F.3d 749, 2008 WL 5101962, 08 Cal. Daily Op. Serv. 14,787, 2008 Daily Journal D.A.R. 17,798, C.A.9 (Cal.), December 05, 2008 (NO. 07-55093)</t>
  </si>
  <si>
    <t xml:space="preserve">U.S. v. AMC Entertainment, Inc., </t>
  </si>
  <si>
    <t>549 F.3d 760, 2008 WL 5101964, 21 A.D. Cases 593, 38 NDLR P 75, 08 Cal. Daily Op. Serv. 14,775, 2008 Daily Journal D.A.R. 17,816, C.A.9 (Cal.), December 05, 2008 (NO. 06-55390)</t>
  </si>
  <si>
    <t xml:space="preserve">Boim v. Holy Land Foundation for Relief and Development, </t>
  </si>
  <si>
    <t>549 F.3d 685, 2008 WL 5071758, C.A.7 (Ill.), December 03, 2008 (NO. 05-1815, 05-1822, 05-1816, 05-1821)</t>
  </si>
  <si>
    <t xml:space="preserve">Life Receivables Trust v. Syndicate 102 at Lloyd's of London, </t>
  </si>
  <si>
    <t>549 F.3d 210, 2008 WL 4978550, 45 A.L.R. Fed. 2d 727, C.A.2 (N.Y.), November 25, 2008 (NO. 07-1197-CV)</t>
  </si>
  <si>
    <t xml:space="preserve">Gagliano v. Reliance Standard Life Ins. Co., </t>
  </si>
  <si>
    <t>547 F.3d 230, 2008 WL 4916330, 45 Employee Benefits Cas. 1583, C.A.4 (Va.), November 18, 2008 (NO. 07-1901)</t>
  </si>
  <si>
    <t xml:space="preserve">U.S. v. Gardellini, </t>
  </si>
  <si>
    <t>545 F.3d 1089, 2008 WL 4889971, 383 U.S.App.D.C. 278, 102 A.F.T.R.2d 2008-6999, 2008-2 USTC P 50,668, C.A.D.C., November 14, 2008 (NO. 07-3089)</t>
  </si>
  <si>
    <t xml:space="preserve">U.S. v. Benally, </t>
  </si>
  <si>
    <t>546 F.3d 1230, 2008 WL 4866618, 77 Fed. R. Evid. Serv. 1453, C.A.10 (Utah), November 12, 2008 (NO. 08-4009)</t>
  </si>
  <si>
    <t xml:space="preserve">Laskowski v. Spellings, </t>
  </si>
  <si>
    <t>546 F.3d 822, 2008 WL 4553064, 238 Ed. Law Rep. 530, C.A.7 (Ind.), October 14, 2008 (NO. 05-2749)</t>
  </si>
  <si>
    <t xml:space="preserve">Bartlett v. Mutual Pharmaceutical Co., Inc., </t>
  </si>
  <si>
    <t>659 F.Supp.2d 279, 2009 WL 3126305, 2009 DNH 144, D.N.H., September 30, 2009 (NO. 08-CV-358-JL)</t>
  </si>
  <si>
    <t xml:space="preserve">E.E.O.C. v. Aldi, Inc., </t>
  </si>
  <si>
    <t>Slip Copy, 2009 WL 3183077, 107 Fair Empl.Prac.Cas. (BNA) 714, W.D.Pa., September 30, 2009 (NO. CIV.A 06-01210)</t>
  </si>
  <si>
    <t xml:space="preserve">Lada v. Delaware County Community College, </t>
  </si>
  <si>
    <t>Not Reported in F.Supp.2d, 2009 WL 3217183, E.D.Pa., September 30, 2009 (NO. CIV.A 08-CV-4754)</t>
  </si>
  <si>
    <t xml:space="preserve">In re Par Pharmaceutical Securities Litigation, </t>
  </si>
  <si>
    <t>Not Reported in F.Supp.2d, 2009 WL 3234273, D.N.J., September 30, 2009 (NO. CIV.A.06CV3226(PGS))</t>
  </si>
  <si>
    <t xml:space="preserve">M &amp; M Stone Co. v. Hornberger, </t>
  </si>
  <si>
    <t>Slip Copy, 2009 WL 3245460, E.D.Pa., September 30, 2009 (NO. CIVA 07-CV-4784)</t>
  </si>
  <si>
    <t xml:space="preserve">Ford Motor Co. v. Michigan Consolidated Gas Co., </t>
  </si>
  <si>
    <t>Slip Copy, 2009 WL 3190418, E.D.Mich., September 29, 2009 (NO. 08-CV-13503-DT)</t>
  </si>
  <si>
    <t>663 F.Supp.2d 709, 2009 WL 3241875, W.D.Wis., September 29, 2009 (NO. 09-CR-73BBC)</t>
  </si>
  <si>
    <t xml:space="preserve">U.S. v. Board of Educ. of City of Chicago, </t>
  </si>
  <si>
    <t>663 F.Supp.2d 649, 2009 WL 3111067, 252 Ed. Law Rep. 688, N.D.Ill., September 24, 2009 (NO. 80 C 5124)</t>
  </si>
  <si>
    <t xml:space="preserve">Landmen Partners Inc. v. Blackstone Group, L.P., </t>
  </si>
  <si>
    <t>659 F.Supp.2d 532, 2009 WL 3029002, S.D.N.Y., September 22, 2009 (NO. 08-CV-3601(HB))</t>
  </si>
  <si>
    <t xml:space="preserve">Sutherlin v. Bannister, </t>
  </si>
  <si>
    <t>Slip Copy, 2009 WL 2957965, D.Nev., September 10, 2009 (NO. 308-CV-00640-LRH-RAM)</t>
  </si>
  <si>
    <t xml:space="preserve">Aviles v. Department of the Army, </t>
  </si>
  <si>
    <t>666 F.Supp.2d 224, 2009 WL 3334922, D.Puerto Rico, September 08, 2009 (NO. CIV. 06-1334(DRD))</t>
  </si>
  <si>
    <t xml:space="preserve">Telepo v. Martin, </t>
  </si>
  <si>
    <t>Slip Copy, 2009 WL 2476498, M.D.Pa., August 12, 2009 (NO. 3:08CV2132)</t>
  </si>
  <si>
    <t xml:space="preserve">U.S. v. Morillo, </t>
  </si>
  <si>
    <t>Slip Copy, 2009 WL 3254429, E.D.N.Y., August 12, 2009 (NO. 08 CR 676(NGG))</t>
  </si>
  <si>
    <t>Slip Copy, 2009 WL 2485592, S.D.Tex., August 07, 2009 (NO. CRIM.A. C-03-387 (2), CIV.A. C-08-327)</t>
  </si>
  <si>
    <t xml:space="preserve">Warren Pub. Co. v. Spurlock, </t>
  </si>
  <si>
    <t>645 F.Supp.2d 402, 2009 WL 2412542, 2009 Copr.L.Dec. P 29,802, 95 U.S.P.Q.2d 1584, E.D.Pa., August 04, 2009 (NO. CIV. A. 08-3399)</t>
  </si>
  <si>
    <t xml:space="preserve">McPhatter v. New York City, </t>
  </si>
  <si>
    <t>Slip Copy, 2009 WL 2412980, E.D.N.Y., July 30, 2009 (NO. 06 CV 1181NGLB)</t>
  </si>
  <si>
    <t xml:space="preserve">U.S. v. Deal, </t>
  </si>
  <si>
    <t>Not Reported in F.Supp.2d, 2009 WL 5386061, M.D.Fla., July 29, 2009 (NO. 3:08-CR-368-J-34JRK)</t>
  </si>
  <si>
    <t xml:space="preserve">Abuhouran v. Grondolsky, </t>
  </si>
  <si>
    <t>643 F.Supp.2d 654, 2009 WL 2143760, D.N.J., July 20, 2009 (NO. CIV. 08-4379 (DRD), CIV. 08-4838 (DRD))</t>
  </si>
  <si>
    <t xml:space="preserve">Smith v. Gibbons, </t>
  </si>
  <si>
    <t>Slip Copy, 2009 WL 3048449, D.Nev., July 17, 2009 (NO. 3:08-CV-144-ECR RAM)</t>
  </si>
  <si>
    <t xml:space="preserve">Combs v. U.S., </t>
  </si>
  <si>
    <t>Slip Copy, 2009 WL 2151844, N.D.Tex., July 10, 2009 (NO. 3:08-CV-0032-N, 3:03-CR-0188-N(09))</t>
  </si>
  <si>
    <t xml:space="preserve">Smith v. McDaniel, </t>
  </si>
  <si>
    <t>Not Reported in F.Supp.2d, 2009 WL 2152325, D.Nev., July 10, 2009 (NO. 3:06-CV-00087-ECFRVP)</t>
  </si>
  <si>
    <t xml:space="preserve">Siu v. U.S., </t>
  </si>
  <si>
    <t>Slip Copy, 2009 WL 2032028, W.D.Wash., July 07, 2009 (NO. C08-1407-JCC, CR02-0192-JCC)</t>
  </si>
  <si>
    <t xml:space="preserve">Athill v. Speziale, </t>
  </si>
  <si>
    <t>Slip Copy, 2009 WL 1874194, D.N.J., June 30, 2009 (NO. CIV. A. 06-4941 SDW)</t>
  </si>
  <si>
    <t xml:space="preserve">In re Ponce, </t>
  </si>
  <si>
    <t>406 B.R. 490, 2009 WL 1741889, Bkrtcy.M.D.Pa., June 22, 2009 (NO. 1-08-BK-04048 RNO)</t>
  </si>
  <si>
    <t xml:space="preserve">U.S. v. Grote, </t>
  </si>
  <si>
    <t>629 F.Supp.2d 1201, 2009 WL 1837817, E.D.Wash., June 16, 2009 (NO. CR-08-6057-LRS)</t>
  </si>
  <si>
    <t xml:space="preserve">Tate v. Swanson Services Corp., </t>
  </si>
  <si>
    <t>Slip Copy, 2009 WL 1619901, D.S.C., June 09, 2009 (NO. CA 2:08-3148-PMD)</t>
  </si>
  <si>
    <t xml:space="preserve">U.S. ex rel. Russell v. Gaetz, </t>
  </si>
  <si>
    <t>628 F.Supp.2d 820, 2009 WL 1543708, N.D.Ill., June 02, 2009 (NO. 08 C 1814)</t>
  </si>
  <si>
    <t xml:space="preserve">U.S. v. Jefferson, </t>
  </si>
  <si>
    <t>623 F.Supp.2d 683, 2009 WL 1606490, E.D.Va., May 27, 2009 (NO. 1:07CR209)</t>
  </si>
  <si>
    <t xml:space="preserve">Sevin v. Parish of Jefferson, </t>
  </si>
  <si>
    <t>621 F.Supp.2d 372, 2009 WL 1402332, E.D.La., May 14, 2009 (NO. CIV.A. 08-802)</t>
  </si>
  <si>
    <t xml:space="preserve">In re Adolor Corp. Securities Litigation, </t>
  </si>
  <si>
    <t>616 F.Supp.2d 551, 2009 WL 1312564, 73 Fed.R.Serv.3d 735, E.D.Pa., May 08, 2009 (NO. CIV.A. 04-1728)</t>
  </si>
  <si>
    <t xml:space="preserve">U.S. v. Darui, </t>
  </si>
  <si>
    <t>614 F.Supp.2d 25, 2009 WL 1248946, D.D.C., May 07, 2009 (NO. CR. 07-149 (RCL))</t>
  </si>
  <si>
    <t xml:space="preserve">Burriola v. State of Nevada, </t>
  </si>
  <si>
    <t>Slip Copy, 2009 WL 2151900, D.Nev., May 07, 2009 (NO. 3:08-CV-0149-ECRRAM)</t>
  </si>
  <si>
    <t>Slip Copy, 2009 WL 1228556, W.D.Wash., May 04, 2009 (NO. C08-1493-JLR, CR06-220-JLR)</t>
  </si>
  <si>
    <t>623 F.Supp.2d 693, 2009 WL 1162897, W.D.Va., April 27, 2009 (NO. CRIM 7:07CR00079)</t>
  </si>
  <si>
    <t>610 F.Supp.2d 853, 2009 WL 1067049, S.D.Ohio, April 21, 2009 (NO. 2:04-CV-1156)</t>
  </si>
  <si>
    <t xml:space="preserve">U.S. ex rel. Barlett v. Tyrone Hosp., Inc., </t>
  </si>
  <si>
    <t>Not Reported in F.Supp.2d, 2009 WL 1010479, W.D.Pa., April 14, 2009 (NO. CIV.A. 3:2004-57)</t>
  </si>
  <si>
    <t xml:space="preserve">Smith v. Ault, </t>
  </si>
  <si>
    <t>Slip Copy, 2009 WL 982054, 73 Fed.R.Serv.3d 323, N.D.Iowa, April 13, 2009 (NO. C 07-2070-MWB)</t>
  </si>
  <si>
    <t xml:space="preserve">National Parks Conservation Ass'n v. Lower Providence Tp., Pa., </t>
  </si>
  <si>
    <t>608 F.Supp.2d 637, 2009 WL 929007, E.D.Pa., April 07, 2009 (NO. 08-5578)</t>
  </si>
  <si>
    <t xml:space="preserve">Honeycutt v. Mitchell, </t>
  </si>
  <si>
    <t>Slip Copy, 2009 WL 1421444, W.D.Okla., April 03, 2009 (NO. CIV-08-140-W)</t>
  </si>
  <si>
    <t xml:space="preserve">Kindle v. SC Dept. of Corrections, </t>
  </si>
  <si>
    <t>Slip Copy, 2009 WL 891830, D.S.C., March 31, 2009 (NO. 2:08-CV-02977-GRARSC)</t>
  </si>
  <si>
    <t xml:space="preserve">Katin v. National Real Estate Information Services, Inc., </t>
  </si>
  <si>
    <t>Slip Copy, 2009 WL 929554, D.Mass., March 31, 2009 (NO. CIV. A. 07-10882DPW)</t>
  </si>
  <si>
    <t xml:space="preserve">Rattigan v. Holder, </t>
  </si>
  <si>
    <t>604 F.Supp.2d 33, 2009 WL 807518, D.D.C., March 30, 2009 (NO. CIV.A.04-2009 (ESH))</t>
  </si>
  <si>
    <t xml:space="preserve">U.S. ex rel. Kirk v. Schindler Elevator Corp., </t>
  </si>
  <si>
    <t>606 F.Supp.2d 448, 2009 WL 857075, S.D.N.Y., March 30, 2009 (NO. 05 CIV. 2917 (SHS))</t>
  </si>
  <si>
    <t xml:space="preserve">County Concrete Corp. v. Township of Roxbury, </t>
  </si>
  <si>
    <t>Slip Copy, 2009 WL 872215, D.N.J., March 30, 2009 (NO. CIV.A.03-CV-1445DMC)</t>
  </si>
  <si>
    <t xml:space="preserve">Ezuma v. City University of New York, </t>
  </si>
  <si>
    <t>665 F.Supp.2d 116, 2009 WL 3418539, 252 Ed. Law Rep. 805, E.D.N.Y., March 27, 2009 (NO. 07 CIV.3561 (BMC))</t>
  </si>
  <si>
    <t xml:space="preserve">Riscili v. Gibson Guitar Corp., </t>
  </si>
  <si>
    <t>605 F.Supp.2d 558, 2009 WL 792304, 105 Fair Empl.Prac.Cas. (BNA) 1831, S.D.N.Y., March 26, 2009 (NO. 1:06-CV-07596-RJH)</t>
  </si>
  <si>
    <t xml:space="preserve">Yohn v. Coleman, </t>
  </si>
  <si>
    <t>639 F.Supp.2d 776, 2009 WL 703202, 249 Ed. Law Rep. 173, E.D.Mich., March 16, 2009 (NO. 08-CV-10008-DT)</t>
  </si>
  <si>
    <t xml:space="preserve">Blake v. Murphy, </t>
  </si>
  <si>
    <t>Slip Copy, 2009 WL 605820, D.Mass., March 10, 2009 (NO. CIV.A. 05-10508-RGS)</t>
  </si>
  <si>
    <t xml:space="preserve">Wardell v. Cochran, </t>
  </si>
  <si>
    <t>Slip Copy, 2009 WL 653015, D.Nev., March 10, 2009 (NO. 306-CV-00668-LRHRAM)</t>
  </si>
  <si>
    <t xml:space="preserve">Bhatia v. U.S., </t>
  </si>
  <si>
    <t>Not Reported in F.Supp.2d, 2009 WL 690810, N.D.Cal., March 10, 2009 (NO. C 07-5583 CW, CR 04-40071 CW)</t>
  </si>
  <si>
    <t xml:space="preserve">Plummer v. Town of Somerset, </t>
  </si>
  <si>
    <t>601 F.Supp.2d 358, 2009 WL 586426, D.Mass., March 09, 2009 (NO. CIV.A. 06-11700-RGS)</t>
  </si>
  <si>
    <t xml:space="preserve">Horton v. City of Harrisburg, </t>
  </si>
  <si>
    <t>Not Reported in F.Supp.2d, 2009 WL 2225421, M.D.Pa., March 09, 2009 (NO. CIV A 1:06-2338)</t>
  </si>
  <si>
    <t xml:space="preserve">Cole v. Maine Dept. of Corrections, </t>
  </si>
  <si>
    <t>Slip Copy, 2009 WL 585796, D.Me., March 05, 2009 (NO. CIV. 07-82-B-W)</t>
  </si>
  <si>
    <t xml:space="preserve">Richards v. Centre Area Transp. Authority, </t>
  </si>
  <si>
    <t>Slip Copy, 2009 WL 533047, M.D.Pa., March 03, 2009 (NO. 4:08-CV-01947)</t>
  </si>
  <si>
    <t xml:space="preserve">Dunn v. Cochran, </t>
  </si>
  <si>
    <t>Slip Copy, 2009 WL 560019, D.Nev., March 03, 2009 (NO. 307-CV-00318-KJD-RAM)</t>
  </si>
  <si>
    <t>Not Reported in F.Supp.2d, 2009 WL 5217976, E.D.Wis., March 03, 2009 (NO. 08-CR-157)</t>
  </si>
  <si>
    <t xml:space="preserve">Gamboa v. Norwood, </t>
  </si>
  <si>
    <t>Not Reported in F.Supp.2d, 2009 WL 482304, C.D.Cal., February 23, 2009 (NO. CV 09-0656DSF(RC))</t>
  </si>
  <si>
    <t xml:space="preserve">In re Lopatka, </t>
  </si>
  <si>
    <t>400 B.R. 433, 2009 WL 367707, 61 Collier Bankr.Cas.2d 1069, Bkrtcy.M.D.Pa., February 17, 2009 (NO. 5-08-BK-52181 RNO)</t>
  </si>
  <si>
    <t xml:space="preserve">U.S. v. Valverde, </t>
  </si>
  <si>
    <t>Slip Copy, 2009 WL 4172384, E.D.Cal., February 09, 2009 (NO. CR. S-08-187 LKK)</t>
  </si>
  <si>
    <t xml:space="preserve">In re Charles Schwab Corp. Securities Litigation, </t>
  </si>
  <si>
    <t>257 F.R.D. 534, 2009 WL 262456, N.D.Cal., February 04, 2009 (NO. C 08-01510 WHA)</t>
  </si>
  <si>
    <t xml:space="preserve">U.S. v. Bradford, </t>
  </si>
  <si>
    <t>Slip Copy, 2009 WL 259871, N.D.Iowa, February 03, 2009 (NO. 08-CR-30-LRR)</t>
  </si>
  <si>
    <t xml:space="preserve">Blake C. ex rel. Tina F. v. Department of Educ., State of Hawaii, </t>
  </si>
  <si>
    <t>593 F.Supp.2d 1199, 2009 WL 111730, 241 Ed. Law Rep. 662, D.Hawai'i, January 15, 2009 (NO. CIV.07-00535 SPK-LEK)</t>
  </si>
  <si>
    <t xml:space="preserve">Motor Valet, Inc. v. Guardian Life Ins. Co. of North America, </t>
  </si>
  <si>
    <t>Slip Copy, 2009 WL 113479, 45 Employee Benefits Cas. 2708, N.D.N.Y., January 15, 2009 (NO. 5:08-CV-0477 GTS/GHL)</t>
  </si>
  <si>
    <t xml:space="preserve">In re American Coastal Energy Inc., </t>
  </si>
  <si>
    <t>399 B.R. 805, 2009 WL 137493, 61 Collier Bankr.Cas.2d 1, 51 Bankr.Ct.Dec. 28, Bkrtcy.S.D.Tex., January 15, 2009 (NO. 08-33160)</t>
  </si>
  <si>
    <t xml:space="preserve">Scott v. Moore, </t>
  </si>
  <si>
    <t>Slip Copy, 2009 WL 322216, D.Nev., January 13, 2009 (NO. 307-CV-507-ECRRAM)</t>
  </si>
  <si>
    <t xml:space="preserve">Carvajal v. Artus, </t>
  </si>
  <si>
    <t>Slip Copy, 2009 WL 62177, S.D.N.Y., January 09, 2009 (NO. 07CIV.10634(CM)(AJP))</t>
  </si>
  <si>
    <t xml:space="preserve">Platinumtel Communications, LLC v. Zefcom, LLC, </t>
  </si>
  <si>
    <t>Not Reported in F.Supp.2d, 2008 WL 5423606, 2009-1 Trade Cases P 76,493, N.D.Ill., December 30, 2008 (NO. 08-CV-1062)</t>
  </si>
  <si>
    <t xml:space="preserve">Vantage Technologies Knowledge Assessment, LLC v. College Entrance Examination Bd., </t>
  </si>
  <si>
    <t>591 F.Supp.2d 768, 2008 WL 5264908, E.D.Pa., December 18, 2008 (NO. CIV.A. 08-4743)</t>
  </si>
  <si>
    <t xml:space="preserve">Gomez v. St. Vincent Health, Inc., </t>
  </si>
  <si>
    <t>622 F.Supp.2d 710, 2008 WL 5247281, S.D.Ind., December 16, 2008 (NO. 1:08-CV-0153-DFH-DML)</t>
  </si>
  <si>
    <t xml:space="preserve">U.S. v. Myers, </t>
  </si>
  <si>
    <t>591 F.Supp.2d 1312, 2008 WL 5156671, 21 Fla. L. Weekly Fed. D 473, S.D.Fla., December 09, 2008 (NO. 08-60064-CR)</t>
  </si>
  <si>
    <t xml:space="preserve">Dawn L. v. Greater Johnstown School Dist., </t>
  </si>
  <si>
    <t>586 F.Supp.2d 332, 2008 WL 4963347, 239 Ed. Law Rep. 1015, W.D.Pa., November 13, 2008 (NO. CIV.A.3:06-19)</t>
  </si>
  <si>
    <t xml:space="preserve">U.S. v. Prince, </t>
  </si>
  <si>
    <t>627 F.Supp.2d 863, 2008 WL 4861296, Med &amp; Med GD (CCH) P 302,667, W.D.Tenn., November 07, 2008 (NO. 04-20223-JPM)</t>
  </si>
  <si>
    <t xml:space="preserve">Sherman v. Blagojevich, </t>
  </si>
  <si>
    <t>Not Reported in F.Supp.2d, 2008 WL 4814914, C.D.Ill., November 04, 2008 (NO. 08-3177)</t>
  </si>
  <si>
    <t xml:space="preserve">U.S. v. Wilson, </t>
  </si>
  <si>
    <t>Not Reported in F.Supp.2d, 2008 WL 5753361, W.D.Mich., October 30, 2008 (NO. 1:07-CR-296)</t>
  </si>
  <si>
    <t>Not Reported in F.Supp.2d, 2008 WL 4757311, D.N.J., October 27, 2008 (NO. CRIM. 06-867 (JHR))</t>
  </si>
  <si>
    <t>Date</t>
  </si>
  <si>
    <t>Docket</t>
  </si>
  <si>
    <t>Name</t>
  </si>
  <si>
    <t>J.</t>
  </si>
  <si>
    <t>Pt.</t>
  </si>
  <si>
    <t>Grooms v. United States</t>
  </si>
  <si>
    <t>A</t>
  </si>
  <si>
    <t>556/2</t>
  </si>
  <si>
    <t>Megginson v. United States</t>
  </si>
  <si>
    <t>MIP Check</t>
    <phoneticPr fontId="0" type="noConversion"/>
  </si>
  <si>
    <t>Unamious Check (only counts if no other opinions)</t>
    <phoneticPr fontId="0" type="noConversion"/>
  </si>
  <si>
    <t>553 U.S. 662</t>
  </si>
  <si>
    <t>128 S. Ct. 2123</t>
  </si>
  <si>
    <t>170 L. Ed. 2d 1030</t>
  </si>
  <si>
    <t>2008 U.S. LEXIS 4704</t>
  </si>
  <si>
    <t>07-214</t>
  </si>
  <si>
    <t>ALLISON ENGINE COMPANY, INC., et al. v. UNITED STATES ex rel. ROGER L. SANDERS AND ROGER L. THACKER</t>
  </si>
  <si>
    <t>552 U.S. 472</t>
  </si>
  <si>
    <t>128 S. Ct. 1203</t>
  </si>
  <si>
    <t>170 L. Ed. 2d 175</t>
  </si>
  <si>
    <t>2008 U.S. LEXIS 2708</t>
  </si>
  <si>
    <t>06-10119</t>
  </si>
  <si>
    <t>ALLEN SNYDER v. LOUISIANA</t>
  </si>
  <si>
    <t>553 U.S. 16</t>
  </si>
  <si>
    <t>128 S. Ct. 1498</t>
  </si>
  <si>
    <t>170 L. Ed. 2d 404</t>
  </si>
  <si>
    <t>2008 U.S. LEXIS 3473</t>
  </si>
  <si>
    <t>06-1413</t>
  </si>
  <si>
    <t>MEADWESTVACO CORPORATION, SUCCESSOR IN INTEREST TO THE MEAD CORPORATION v. ILLINOIS DEPARTMENT OF REVENUE ET AL</t>
  </si>
  <si>
    <t>553 U.S. 377</t>
  </si>
  <si>
    <t>128 S. Ct. 1783</t>
  </si>
  <si>
    <t>170 L. Ed. 2d 719</t>
  </si>
  <si>
    <t>2008 U.S. LEXIS 4313</t>
  </si>
  <si>
    <t>06-1646</t>
  </si>
  <si>
    <t>UNITED STATES v. GINO RODRIQUEZ</t>
  </si>
  <si>
    <t>553 U.S. 474</t>
  </si>
  <si>
    <t>128 S. Ct. 1931</t>
  </si>
  <si>
    <t>170 L. Ed. 2d 887</t>
  </si>
  <si>
    <t>2008 U.S. LEXIS 4518</t>
  </si>
  <si>
    <t>06-1321</t>
  </si>
  <si>
    <t>MYRNA GOMEZ-PEREZ v. JOHN E. POTTER, POSTMASTER GENERAL</t>
  </si>
  <si>
    <t>553 U.S. 571</t>
  </si>
  <si>
    <t>128 S. Ct. 2007</t>
  </si>
  <si>
    <t>170 L. Ed. 2d 960</t>
  </si>
  <si>
    <t>2008 U.S. LEXIS 4522</t>
  </si>
  <si>
    <t>06-1717</t>
  </si>
  <si>
    <t>RICHLIN SECURITY SERVICE COMPANY v. MICHAEL CHERTOFF, SECRETARY OF HOMELAND SECURITY</t>
  </si>
  <si>
    <t>128 S. Ct. 2759</t>
  </si>
  <si>
    <t>171 L. Ed. 2d 737</t>
  </si>
  <si>
    <t>2008 U.S. LEXIS 5267</t>
  </si>
  <si>
    <t>07-320</t>
  </si>
  <si>
    <t>DAVIS v. FEC</t>
  </si>
  <si>
    <t>552 U.S. 38</t>
  </si>
  <si>
    <t>128 S. Ct. 586</t>
  </si>
  <si>
    <t>169 L. Ed. 2d 445</t>
  </si>
  <si>
    <t>2007 U.S. LEXIS 13083</t>
  </si>
  <si>
    <t>06-7949</t>
  </si>
  <si>
    <t>BRIAN MICHAEL GALL v. UNITED STATES</t>
  </si>
  <si>
    <t>128 S. Ct. 1581</t>
  </si>
  <si>
    <t>170 L. Ed. 2d 490</t>
  </si>
  <si>
    <t>2008 U.S. LEXIS 3474</t>
  </si>
  <si>
    <t>06-11453</t>
  </si>
  <si>
    <t>LARRY BEGAY v. UNITED STATES</t>
  </si>
  <si>
    <t>553 U.S. 328</t>
  </si>
  <si>
    <t>128 S. Ct. 1801</t>
  </si>
  <si>
    <t>170 L. Ed. 2d 685</t>
  </si>
  <si>
    <t>2008 U.S. LEXIS 4312</t>
  </si>
  <si>
    <t>06-666</t>
  </si>
  <si>
    <t>DEPARTMENT OF REVENUE OF KENTUCKY, et al. v. GEORGE W. DAVIS, ET UX</t>
  </si>
  <si>
    <t>553 U.S. 507</t>
  </si>
  <si>
    <t>128 S. Ct. 2020</t>
  </si>
  <si>
    <t>170 L. Ed. 2d 912</t>
  </si>
  <si>
    <t>2008 U.S. LEXIS 4699</t>
  </si>
  <si>
    <t>06-1005</t>
  </si>
  <si>
    <t>UNITED STATES v. EFRAIN SANTOS AND BENEDICTO DIAZ</t>
  </si>
  <si>
    <t>554 U.S. 1</t>
  </si>
  <si>
    <t>128 S. Ct. 2307</t>
  </si>
  <si>
    <t>171 L. Ed. 2d 178</t>
  </si>
  <si>
    <t>2008 U.S. LEXIS 4890</t>
  </si>
  <si>
    <t>06-1181</t>
  </si>
  <si>
    <t>DADA v. MUKASEY</t>
  </si>
  <si>
    <t>554 U.S. 237</t>
  </si>
  <si>
    <t>128 S. Ct. 2559</t>
  </si>
  <si>
    <t>171 L. Ed. 2d 399</t>
  </si>
  <si>
    <t>2008 U.S. LEXIS 5259</t>
  </si>
  <si>
    <t>07-330</t>
  </si>
  <si>
    <t>GREENLAW v. UNITED STATES</t>
  </si>
  <si>
    <t>128 S. Ct. 2641</t>
  </si>
  <si>
    <t>171 L. Ed. 2d 525</t>
  </si>
  <si>
    <t>2008 U.S. LEXIS 5262</t>
  </si>
  <si>
    <t>07-343</t>
  </si>
  <si>
    <t>KENNEDY v. LOUISIANA</t>
  </si>
  <si>
    <t>553 U.S. 35</t>
  </si>
  <si>
    <t>128 S. Ct. 1520</t>
  </si>
  <si>
    <t>170 L. Ed. 2d 420</t>
  </si>
  <si>
    <t>2008 U.S. LEXIS 3476</t>
  </si>
  <si>
    <t>07-5439</t>
  </si>
  <si>
    <t>RALPH BAZE AND THOMAS C. BOWLING v. JOHN D. REES, COMMISSIONER, KENTUCKY DEPARTMENT OF CORRECTIONS, ET AL</t>
  </si>
  <si>
    <t>553 U.S. 550</t>
  </si>
  <si>
    <t>128 S. Ct. 1994</t>
  </si>
  <si>
    <t>170 L. Ed. 2d 942</t>
  </si>
  <si>
    <t>2008 U.S. LEXIS 4698</t>
  </si>
  <si>
    <t>06-1456</t>
  </si>
  <si>
    <t>HUMBERTO FIDEL REGALADO CUELLAR v. UNITED STATES</t>
  </si>
  <si>
    <t>554 U.S. 191</t>
  </si>
  <si>
    <t>128 S. Ct. 2578</t>
  </si>
  <si>
    <t>171 L. Ed. 2d 366</t>
  </si>
  <si>
    <t>2008 U.S. LEXIS 5057</t>
  </si>
  <si>
    <t>07-440</t>
  </si>
  <si>
    <t>ROTHGERY v. GILLESPIE COUNTY</t>
  </si>
  <si>
    <t>128 S. Ct. 2678</t>
  </si>
  <si>
    <t>171 L. Ed. 2d 488</t>
  </si>
  <si>
    <t>2008 U.S. LEXIS 5264</t>
  </si>
  <si>
    <t>07-6053</t>
  </si>
  <si>
    <t>GILES v. CALIFORNIA</t>
  </si>
  <si>
    <t>552 U.S. 9</t>
  </si>
  <si>
    <t>128 S. Ct. 467</t>
  </si>
  <si>
    <t>169 L. Ed. 2d 418</t>
  </si>
  <si>
    <t>2007 U.S. LEXIS 12921</t>
  </si>
  <si>
    <t>06-1287</t>
  </si>
  <si>
    <t>CSX TRANSPORTATION, INC. v. GEORGIA STATE BOARD OF EQUALIZATION ET AL</t>
  </si>
  <si>
    <t>552 U.S. 23</t>
  </si>
  <si>
    <t>128 S. Ct. 475</t>
  </si>
  <si>
    <t>169 L. Ed. 2d 432</t>
  </si>
  <si>
    <t>2007 U.S. LEXIS 12922</t>
  </si>
  <si>
    <t>06-6911</t>
  </si>
  <si>
    <t>JAMES D. LOGAN v. UNITED STATES</t>
  </si>
  <si>
    <t>552 U.S. 74</t>
  </si>
  <si>
    <t>128 S. Ct. 579</t>
  </si>
  <si>
    <t>169 L. Ed. 2d 472</t>
  </si>
  <si>
    <t>2007 U.S. LEXIS 13081</t>
  </si>
  <si>
    <t>06-571</t>
  </si>
  <si>
    <t>MICHAEL A. WATSON v. UNITED STATES</t>
  </si>
  <si>
    <t>552 U.S. 85</t>
  </si>
  <si>
    <t>128 S. Ct. 558</t>
  </si>
  <si>
    <t>169 L. Ed. 2d 481</t>
  </si>
  <si>
    <t>2007 U.S. LEXIS 13082</t>
  </si>
  <si>
    <t>06-6330</t>
  </si>
  <si>
    <t>DERRICK KIMBROUGH v. UNITED STATES</t>
  </si>
  <si>
    <t>552 U.S. 130</t>
  </si>
  <si>
    <t>128 S. Ct. 750</t>
  </si>
  <si>
    <t>169 L. Ed. 2d 591</t>
  </si>
  <si>
    <t>2008 U.S. LEXIS 744</t>
  </si>
  <si>
    <t>06-1164</t>
  </si>
  <si>
    <t>JOHN R. SAND &amp; GRAVEL COMPANY v. UNITED STATES</t>
  </si>
  <si>
    <t>552 U.S. 148</t>
  </si>
  <si>
    <t>128 S. Ct. 761</t>
  </si>
  <si>
    <t>169 L. Ed. 2d 627</t>
  </si>
  <si>
    <t>2008 U.S. LEXIS 1091</t>
  </si>
  <si>
    <t>06-43</t>
  </si>
  <si>
    <t>STONERIDGE INVESTMENT PARTNERS, LLC v. SCIENTIFIC-ATLANTA, INC., ET AL</t>
  </si>
  <si>
    <t>552 U.S. 181</t>
  </si>
  <si>
    <t>128 S. Ct. 782</t>
  </si>
  <si>
    <t>169 L. Ed. 2d 652</t>
  </si>
  <si>
    <t>2008 U.S. LEXIS 1096</t>
  </si>
  <si>
    <t>06-1286</t>
  </si>
  <si>
    <t>MICHAEL J. KNIGHT, TRUSTEE OF THE WILLIAM L. RUDKIN TESTAMENTARY TRUST v. COMMISSIONER OF INTERNAL REVENUE</t>
  </si>
  <si>
    <t>552 U.S. 196</t>
  </si>
  <si>
    <t>128 S. Ct. 791</t>
  </si>
  <si>
    <t>169 L. Ed. 2d 665</t>
  </si>
  <si>
    <t>2008 U.S. LEXIS 1093</t>
  </si>
  <si>
    <t>06-766</t>
  </si>
  <si>
    <t>NEW YORK STATE BOARD OF ELECTIONS, et al. v. MARGARITA LOPEZ TORRES ET AL</t>
  </si>
  <si>
    <t>552 U.S. 214</t>
  </si>
  <si>
    <t>128 S. Ct. 831</t>
  </si>
  <si>
    <t>169 L. Ed. 2d 680</t>
  </si>
  <si>
    <t>2008 U.S. LEXIS 1212</t>
  </si>
  <si>
    <t>06-9130</t>
  </si>
  <si>
    <t>ABDUS-SHAHID M. S. ALI v. FEDERAL BUREAU OF PRISONS ET AL</t>
  </si>
  <si>
    <t>551 U.S. 1130</t>
  </si>
  <si>
    <t>128 S. Ct. 1020</t>
  </si>
  <si>
    <t>169 L. Ed. 2d 847</t>
  </si>
  <si>
    <t>2008 U.S. LEXIS 2014</t>
  </si>
  <si>
    <t>06-856</t>
  </si>
  <si>
    <t>JAMES LARUE v. DEWOLFF, BOBERG &amp; ASSOCIATES, INC., ET AL</t>
  </si>
  <si>
    <t>550 U.S. 956</t>
  </si>
  <si>
    <t>128 S. Ct. 1029</t>
  </si>
  <si>
    <t>169 L. Ed. 2d 859</t>
  </si>
  <si>
    <t>2008 U.S. LEXIS 2012</t>
  </si>
  <si>
    <t>06-8273</t>
  </si>
  <si>
    <t>STEPHEN DANFORTH v. MINNESOTA</t>
  </si>
  <si>
    <t>552 U.S. 312</t>
  </si>
  <si>
    <t>128 S. Ct. 999</t>
  </si>
  <si>
    <t>169 L. Ed. 2d 892</t>
  </si>
  <si>
    <t>2008 U.S. LEXIS 2013</t>
  </si>
  <si>
    <t>06-179</t>
  </si>
  <si>
    <t>DONNA S. RIEGEL, INDIVIDUALLY AND AS ADMINISTRATOR OF THE ESTATE OF CHARLES R. RIEGEL v. MEDTRONIC, INC.</t>
  </si>
  <si>
    <t>552 U.S. 346</t>
  </si>
  <si>
    <t>128 S. Ct. 978</t>
  </si>
  <si>
    <t>169 L. Ed. 2d 917</t>
  </si>
  <si>
    <t>2008 U.S. LEXIS 2011</t>
  </si>
  <si>
    <t>06-1463</t>
  </si>
  <si>
    <t>ARNOLD M. PRESTON v. ALEX E. FERRER</t>
  </si>
  <si>
    <t>552 U.S. 364</t>
  </si>
  <si>
    <t>128 S. Ct. 989</t>
  </si>
  <si>
    <t>169 L. Ed. 2d 933</t>
  </si>
  <si>
    <t>2008 U.S. LEXIS 2010</t>
  </si>
  <si>
    <t>06-457</t>
  </si>
  <si>
    <t>G. STEVEN ROWE, ATTORNEY GENERAL OF MAINE v. NEW HAMPSHIRE MOTOR TRANSPORT ASSOCIATION, et al.</t>
  </si>
  <si>
    <t>552 U.S. 379</t>
  </si>
  <si>
    <t>128 S. Ct. 1140</t>
  </si>
  <si>
    <t>170 L. Ed. 2d 1</t>
  </si>
  <si>
    <t>2008 U.S. LEXIS 2195</t>
  </si>
  <si>
    <t>06-1221</t>
  </si>
  <si>
    <t>SPRINT/UNITED MANAGEMENT COMPANY v. ELLEN MENDELSOHN</t>
  </si>
  <si>
    <t>552 U.S. 389</t>
  </si>
  <si>
    <t>128 S. Ct. 1147</t>
  </si>
  <si>
    <t>170 L. Ed. 2d 10</t>
  </si>
  <si>
    <t>2008 U.S. LEXIS 2196</t>
  </si>
  <si>
    <t>06-1322</t>
  </si>
  <si>
    <t>FEDERAL EXPRESS CORPORATION v. PAUL HOLOWECKI, ET AL</t>
  </si>
  <si>
    <t>552 U.S. 421</t>
  </si>
  <si>
    <t>128 S. Ct. 1168</t>
  </si>
  <si>
    <t>170 L. Ed. 2d 34</t>
  </si>
  <si>
    <t>2008 U.S. LEXIS 2356</t>
  </si>
  <si>
    <t>06-1509</t>
  </si>
  <si>
    <t>MICHAEL H. BOULWARE v. UNITED STATES</t>
  </si>
  <si>
    <t>552 U.S. 442</t>
  </si>
  <si>
    <t>128 S. Ct. 1184</t>
  </si>
  <si>
    <t>170 L. Ed. 2d 151</t>
  </si>
  <si>
    <t>2008 U.S. LEXIS 2707</t>
  </si>
  <si>
    <t>06-713</t>
  </si>
  <si>
    <t>WASHINGTON STATE GRANGE v. WASHINGTON STATE REPUBLICAN PARTY, et al.</t>
  </si>
  <si>
    <t>552 U.S. 491</t>
  </si>
  <si>
    <t>128 S. Ct. 1346</t>
  </si>
  <si>
    <t>170 L. Ed. 2d 190</t>
  </si>
  <si>
    <t>2008 U.S. LEXIS 2912</t>
  </si>
  <si>
    <t>06-984</t>
  </si>
  <si>
    <t>JOSE ERNESTO MEDELLIN v. TEXAS</t>
  </si>
  <si>
    <t>552 U.S. 576</t>
  </si>
  <si>
    <t>128 S. Ct. 1396</t>
  </si>
  <si>
    <t>170 L. Ed. 2d 254</t>
  </si>
  <si>
    <t>2008 U.S. LEXIS 2911</t>
  </si>
  <si>
    <t>06-989</t>
  </si>
  <si>
    <t>HALL STREET ASSOCIATES, L.L.C. v. MATTEL, INC</t>
  </si>
  <si>
    <t>552 U.S. 597</t>
  </si>
  <si>
    <t>128 S. Ct. 1410</t>
  </si>
  <si>
    <t>170 L. Ed. 2d 315</t>
  </si>
  <si>
    <t>2008 U.S. LEXIS 3088</t>
  </si>
  <si>
    <t>134 ORIG</t>
  </si>
  <si>
    <t>STATE OF NEW JERSEY v. STATE OF DELAWARE</t>
  </si>
  <si>
    <t>553 U.S. 1</t>
  </si>
  <si>
    <t>128 S. Ct. 1511</t>
  </si>
  <si>
    <t>170 L. Ed. 2d 392</t>
  </si>
  <si>
    <t>2008 U.S. LEXIS 3472</t>
  </si>
  <si>
    <t>07-308</t>
  </si>
  <si>
    <t>UNITED STATES v. CLINTWOOD ELKHORN MINING COMPANY ET AL</t>
  </si>
  <si>
    <t>553 U.S. 124</t>
  </si>
  <si>
    <t>128 S. Ct. 1572</t>
  </si>
  <si>
    <t>170 L. Ed. 2d 478</t>
  </si>
  <si>
    <t>2008 U.S. LEXIS 3475</t>
  </si>
  <si>
    <t>06-11429</t>
  </si>
  <si>
    <t>KEITH LAVON BURGESS v. UNITED STATES</t>
  </si>
  <si>
    <t>553 U.S. 164</t>
  </si>
  <si>
    <t>128 S. Ct. 1598</t>
  </si>
  <si>
    <t>170 L. Ed. 2d 559</t>
  </si>
  <si>
    <t>2008 U.S. LEXIS 3674</t>
  </si>
  <si>
    <t>06-1082</t>
  </si>
  <si>
    <t>VIRGINIA v. DAVID LEE MOORE</t>
  </si>
  <si>
    <t>553 U.S. 181</t>
  </si>
  <si>
    <t>128 S. Ct. 1610</t>
  </si>
  <si>
    <t>170 L. Ed. 2d 574</t>
  </si>
  <si>
    <t>2008 U.S. LEXIS 3846</t>
  </si>
  <si>
    <t>07-21</t>
  </si>
  <si>
    <t>WILLIAM CRAWFORD, et al., Petitioners v. MARION COUNTY ELECTION BOARD et al.</t>
  </si>
  <si>
    <t>53 U.S. 242</t>
  </si>
  <si>
    <t>128 S. Ct. 1765</t>
  </si>
  <si>
    <t>170 L. Ed. 2d 616</t>
  </si>
  <si>
    <t>2008 U.S. LEXIS 3887</t>
  </si>
  <si>
    <t>06-11612</t>
  </si>
  <si>
    <t>HOMERO GONZALEZ v. UNITED STATES</t>
  </si>
  <si>
    <t>553 U.S. 272</t>
  </si>
  <si>
    <t>128 S. Ct. 1858</t>
  </si>
  <si>
    <t>170 L. Ed. 2d 640</t>
  </si>
  <si>
    <t>2008 U.S. LEXIS 4316</t>
  </si>
  <si>
    <t>07-455</t>
  </si>
  <si>
    <t>UNITED STATES v. AHMED RESSAM</t>
  </si>
  <si>
    <t>553 U.S. 285</t>
  </si>
  <si>
    <t>128 S. Ct. 1830</t>
  </si>
  <si>
    <t>170 L. Ed. 2d 650</t>
  </si>
  <si>
    <t>2008 U.S. LEXIS 4314</t>
  </si>
  <si>
    <t>06-694</t>
  </si>
  <si>
    <t>UNITED STATES v. MICHAEL WILLIAMS</t>
  </si>
  <si>
    <t>553 U.S. 406</t>
  </si>
  <si>
    <t>128 S. Ct. 1970</t>
  </si>
  <si>
    <t>170 L. Ed. 2d 837</t>
  </si>
  <si>
    <t>2008 U.S. LEXIS 4517</t>
  </si>
  <si>
    <t>07-77</t>
  </si>
  <si>
    <t>BOB RILEY, GOVERNOR OF ALABAMA v. YVONNE KENNEDY ET AL</t>
  </si>
  <si>
    <t>553 U.S. 442</t>
  </si>
  <si>
    <t>128 S. Ct. 1951</t>
  </si>
  <si>
    <t>170 L. Ed. 2d 864</t>
  </si>
  <si>
    <t>2008 U.S. LEXIS 4516</t>
  </si>
  <si>
    <t>06-1431</t>
  </si>
  <si>
    <t>CBOCS WEST, INC. v. HEDRICK G. HUMPHRIES</t>
  </si>
  <si>
    <t>553 U.S. 591</t>
  </si>
  <si>
    <t>128 S. Ct. 2146</t>
  </si>
  <si>
    <t>170 L. Ed. 2d 975</t>
  </si>
  <si>
    <t>2008 U.S. LEXIS 4705</t>
  </si>
  <si>
    <t>07-474</t>
  </si>
  <si>
    <t>ANUP ENGQUIST v. OREGON DEPARTMENT OF AGRICULTURE, ET AL</t>
  </si>
  <si>
    <t>553 U.S. 617</t>
  </si>
  <si>
    <t>128 S. Ct. 2109</t>
  </si>
  <si>
    <t>170 L. Ed. 2d 996</t>
  </si>
  <si>
    <t>2008 U.S. LEXIS 4702</t>
  </si>
  <si>
    <t>06-937</t>
  </si>
  <si>
    <t>QUANTA COMPUTER, INC., et al. v. LG ELECTRONICS, INC.</t>
  </si>
  <si>
    <t>553 U.S. 639</t>
  </si>
  <si>
    <t>128 S. Ct. 2131</t>
  </si>
  <si>
    <t>170 L. Ed. 2d 1012</t>
  </si>
  <si>
    <t>2008 U.S. LEXIS 4703</t>
  </si>
  <si>
    <t>07-210</t>
  </si>
  <si>
    <t>JOHN BRIDGE, et al. v. PHOENIX BOND &amp; INDEMNITY CO. ET AL</t>
  </si>
  <si>
    <t>128 S. Ct. 2207</t>
  </si>
  <si>
    <t>171 L. Ed. 2d 1</t>
  </si>
  <si>
    <t>2008 U.S. LEXIS 4888</t>
  </si>
  <si>
    <t>06-1666</t>
  </si>
  <si>
    <t>MUNAF v. GEREN</t>
  </si>
  <si>
    <t>553 U.S. 708</t>
  </si>
  <si>
    <t>128 S. Ct. 2198</t>
  </si>
  <si>
    <t>171 L. Ed. 2d 28</t>
  </si>
  <si>
    <t>2008 U.S. LEXIS 4886</t>
  </si>
  <si>
    <t>06-7517</t>
  </si>
  <si>
    <t>IRIZARRY v. UNITED STATES</t>
  </si>
  <si>
    <t>128 S. Ct. 2229</t>
  </si>
  <si>
    <t>171 L. Ed. 2d 41</t>
  </si>
  <si>
    <t>2008 U.S. LEXIS 4887</t>
  </si>
  <si>
    <t>06-1195</t>
  </si>
  <si>
    <t>BOUMEDIENE v. BUSH</t>
  </si>
  <si>
    <t>553 U.S. 851</t>
  </si>
  <si>
    <t>128 S. Ct. 2180</t>
  </si>
  <si>
    <t>171 L. Ed. 2d 131</t>
  </si>
  <si>
    <t>2008 U.S. LEXIS 4889</t>
  </si>
  <si>
    <t>06-1204</t>
  </si>
  <si>
    <t>PHILIPPINES v. PIMENTEL</t>
  </si>
  <si>
    <t>553 U.S. 880</t>
  </si>
  <si>
    <t>128 S. Ct. 2161</t>
  </si>
  <si>
    <t>171 L. Ed. 2d 155</t>
  </si>
  <si>
    <t>2008 U.S. LEXIS 4885</t>
  </si>
  <si>
    <t>07-371</t>
  </si>
  <si>
    <t>TAYLOR v. STURGELL</t>
  </si>
  <si>
    <t>554 U.S. 33</t>
  </si>
  <si>
    <t>128 S. Ct. 2326</t>
  </si>
  <si>
    <t>171 L. Ed. 2d 203</t>
  </si>
  <si>
    <t>2008 U.S. LEXIS 5025</t>
  </si>
  <si>
    <t>07-312</t>
  </si>
  <si>
    <t>FLA. DEP'T OF REVENUE v. PICCADILLY CAFETERIAS, INC.</t>
  </si>
  <si>
    <t>554 U.S. 60</t>
  </si>
  <si>
    <t>128 S. Ct. 2408</t>
  </si>
  <si>
    <t>171 L. Ed. 2d 264</t>
  </si>
  <si>
    <t>2008 U.S. LEXIS 5033</t>
  </si>
  <si>
    <t>06-939</t>
  </si>
  <si>
    <t>CHAMBER OF COMMERCE OF THE UNITED STATES v. BROWN</t>
  </si>
  <si>
    <t>554 U.S. 84</t>
  </si>
  <si>
    <t>128 S. Ct. 2395</t>
  </si>
  <si>
    <t>171 L. Ed. 2d 283</t>
  </si>
  <si>
    <t>2008 U.S. LEXIS 5029</t>
  </si>
  <si>
    <t>06-1505</t>
  </si>
  <si>
    <t>MEACHAM v. KNOLLS ATOMIC POWER LAB.</t>
  </si>
  <si>
    <t>554 U.S. 105</t>
  </si>
  <si>
    <t>128 S. Ct. 2343</t>
  </si>
  <si>
    <t>171 L. Ed. 2d 299</t>
  </si>
  <si>
    <t>2008 U.S. LEXIS 5030</t>
  </si>
  <si>
    <t>06-923</t>
  </si>
  <si>
    <t>METRO. LIFE INS. CO. v. GLENN</t>
  </si>
  <si>
    <t>554 U.S. 135</t>
  </si>
  <si>
    <t>128 S. Ct. 2361</t>
  </si>
  <si>
    <t>171 L. Ed. 2d 322</t>
  </si>
  <si>
    <t>2008 U.S. LEXIS 5032</t>
  </si>
  <si>
    <t>06-1037</t>
  </si>
  <si>
    <t>KY. RET. SYS. v. EEOC</t>
  </si>
  <si>
    <t>554 U.S. 164</t>
  </si>
  <si>
    <t>128 S. Ct. 2379</t>
  </si>
  <si>
    <t>171 L. Ed. 2d 345</t>
  </si>
  <si>
    <t>2008 U.S. LEXIS 5031</t>
  </si>
  <si>
    <t>07-208</t>
  </si>
  <si>
    <t>INDIANA v. EDWARDS</t>
  </si>
  <si>
    <t>554 U.S. 269</t>
  </si>
  <si>
    <t>128 S. Ct. 2531</t>
  </si>
  <si>
    <t>171 L. Ed. 2d 424</t>
  </si>
  <si>
    <t>2008 U.S. LEXIS 5034</t>
  </si>
  <si>
    <t>07-552</t>
  </si>
  <si>
    <t>SPRINT COMMUNS. CO., L.P. v. APCC SERVS.</t>
  </si>
  <si>
    <t>128 S. Ct. 2709</t>
  </si>
  <si>
    <t>171 L. Ed. 2d 457</t>
  </si>
  <si>
    <t>2008 U.S. LEXIS 5261</t>
  </si>
  <si>
    <t>07-411</t>
  </si>
  <si>
    <t>PLAINS COMMERCE BANK v. LONG FAMILY LAND &amp; CATTLE CO.</t>
  </si>
  <si>
    <t>554 U.S. 527</t>
  </si>
  <si>
    <t>128 S. Ct. 2733</t>
  </si>
  <si>
    <t>171 L. Ed. 2d 607</t>
  </si>
  <si>
    <t>2008 U.S. LEXIS 5266</t>
  </si>
  <si>
    <t>06-1457</t>
  </si>
  <si>
    <t>MORGAN STANLEY CAPITAL GROUP INC. v. PUBLIC UTILITY DISTRICT NO. 1 OF SNOHOMISH COUNTY, WASHINGTON, et al.; AMERICAN ELECTRIC POWER SERVICE CORPORATION, et al. v. PUBLIC UTILITY DISTRICT NO. 1 OF SNOHOMISH COUNTY, WASHI</t>
  </si>
  <si>
    <t>128 S. Ct. 2783</t>
  </si>
  <si>
    <t>171 L. Ed. 2d 637</t>
  </si>
  <si>
    <t>2008 U.S. LEXIS 5268</t>
  </si>
  <si>
    <t>07-290</t>
  </si>
  <si>
    <t>DISTRICT OF COLUMBIA v. HELLER</t>
  </si>
  <si>
    <t>552 U.S. 3</t>
  </si>
  <si>
    <t>128 S. Ct. 2</t>
  </si>
  <si>
    <t>169 L. Ed. 2d 329</t>
  </si>
  <si>
    <t>2007 U.S. LEXIS 12076</t>
  </si>
  <si>
    <t>06-1680</t>
  </si>
  <si>
    <t>RICHARD F. ALLEN, COMMISSIONER, ALABAMA DEPARTMENT OF CORRECTIONS v. DANIEL SIEBERT</t>
  </si>
  <si>
    <t>552 U.S. 117</t>
  </si>
  <si>
    <t>128 S. Ct. 749</t>
  </si>
  <si>
    <t>169 L. Ed. 2d 580</t>
  </si>
  <si>
    <t>2008 U.S. LEXIS 743</t>
  </si>
  <si>
    <t>07-110</t>
  </si>
  <si>
    <t>AVRON J. ARAVE, WARDEN v. MAXWELL HOFFMAN</t>
  </si>
  <si>
    <t>552 U.S. 120</t>
  </si>
  <si>
    <t>128 S. Ct. 743</t>
  </si>
  <si>
    <t>169 L. Ed. 2d 583</t>
  </si>
  <si>
    <t>2008 U.S. LEXIS 200</t>
  </si>
  <si>
    <t>07-212</t>
  </si>
  <si>
    <t>RANDALL WRIGHT, SHERIFF, SHAWANO COUNTY, WISCONSIN v. JOSEPH L. VAN PATTEN</t>
  </si>
  <si>
    <t>129 S. Ct. 360</t>
  </si>
  <si>
    <t>171 L. Ed. 2d 833</t>
  </si>
  <si>
    <t>2008 U.S. LEXIS 5362</t>
  </si>
  <si>
    <t>MEDELLIN v. TEXAS</t>
  </si>
  <si>
    <t>552 U.S. 1</t>
  </si>
  <si>
    <t>128 S. Ct. 1</t>
  </si>
  <si>
    <t>169 L. Ed. 2d 1</t>
  </si>
  <si>
    <t>2007 U.S. LEXIS 11481</t>
  </si>
  <si>
    <t>06-637</t>
  </si>
  <si>
    <t>BOARD OF EDUCATION OF THE CITY SCHOOL DISTRICT OF THE CITY OF NEW YORK v. TOM F., ON BEHALF OF GILBERT F., A MINOR CHILD</t>
  </si>
  <si>
    <t>552 U.S. 440</t>
  </si>
  <si>
    <t>170 L. Ed. 2d 51</t>
  </si>
  <si>
    <t>2008 U.S. LEXIS 2235</t>
  </si>
  <si>
    <t>06-1498</t>
  </si>
  <si>
    <t>WARNER-LAMBERT CO., LLC, et al. v. KIMBERLY KENT et al.</t>
  </si>
  <si>
    <t xml:space="preserve">Davis v. Federal Election Com'n, </t>
  </si>
  <si>
    <t>554 U.S. 724,  28 S.Ct. 2759, 2008 WL 2520527,  7  L.Ed.2d 737, 76 USLW 4675, 08 Cal. Daily Op. Serv. 8053, 2008 Daily Journal D.A.R. 9585, 2  Fla. L. Weekly Fed. S 530, U.S.Dist.Col., June 26, 2008 (NO. 07-320)</t>
  </si>
  <si>
    <t xml:space="preserve">Florida Dept. of Revenue v. Piccadilly Cafeterias, Inc., </t>
  </si>
  <si>
    <t>554 U.S. 33, 128 S.Ct. 2326, 2008 WL 2404077, 171 L.Ed.2d 203, 76 USLW 4471, 59 Collier Bankr.Cas.2d 1316, 50 Bankr.Ct.Dec. 34, Bankr. L. Rep. P 81,257, 08 Cal. Daily Op. Serv. 7344, 2008 Daily Journal D.A.R. 8843, 21 Fla. L. Weekly Fed. S 374, U.S., June 16, 2008 (NO. 07-312)</t>
  </si>
  <si>
    <t xml:space="preserve">Department of Revenue of Ky. v. Davis, </t>
  </si>
  <si>
    <t>553 U.S. 328, 128 S.Ct. 1801, 2008 WL 2078187, 170 L.Ed.2d 685, 76 USLW 4288, 08 Cal. Daily Op. Serv. 5962, 2008 Daily Journal D.A.R. 7242, 21 Fla. L. Weekly Fed. S 227, U.S.Ky., May 19, 2008 (NO. 06-666)</t>
  </si>
  <si>
    <t xml:space="preserve">Mullin v. Travelers Indem. Co. of Conn., </t>
  </si>
  <si>
    <t>541 F.3d 1219, 2008 WL 4183336, C.A.10 (Utah), September 12, 2008 (NO. 07-4100)</t>
  </si>
  <si>
    <t xml:space="preserve">U.S. v. Whitted, </t>
  </si>
  <si>
    <t>541 F.3d 480, 2008 WL 4107473, 43 A.L.R.6th 771, C.A.3 (Virgin Islands), September 04, 2008 (NO. 06-3271)</t>
  </si>
  <si>
    <t xml:space="preserve">U.S. v. Stein, </t>
  </si>
  <si>
    <t>541 F.3d 130, 2008 WL 3982104, 102 A.F.T.R.2d 2008-6023, 2008-2 USTC P 50,518, C.A.2 (N.Y.), August 28, 2008 (NO. 07-3042-CR)</t>
  </si>
  <si>
    <t xml:space="preserve">U.S. v. Leveto, </t>
  </si>
  <si>
    <t>540 F.3d 200, 2008 WL 3904504, 102 A.F.T.R.2d 2008-5878, 2008-2 USTC P 50,524, C.A.3 (Pa.), August 26, 2008 (NO. 05-4753)</t>
  </si>
  <si>
    <t xml:space="preserve">Barr v. Lafon, </t>
  </si>
  <si>
    <t>538 F.3d 554, 2008 WL 3851437, 236 Ed. Law Rep. 41, C.A.6 (Tenn.), August 20, 2008 (NO. 07-5743)</t>
  </si>
  <si>
    <t xml:space="preserve">U.S. v. Fleming, </t>
  </si>
  <si>
    <t>287 Fed.Appx. 150, 2008 WL 3824752, C.A.3 (Virgin Islands), August 15, 2008 (NO. 06-3640, 07-2369, 07-2822)</t>
  </si>
  <si>
    <t xml:space="preserve">Freedom From Religion Foundation, Inc. v. Nicholson, </t>
  </si>
  <si>
    <t>536 F.3d 730, 2008 WL 2971777, C.A.7 (Wis.), August 05, 2008 (NO. 07-1292)</t>
  </si>
  <si>
    <t xml:space="preserve">In re Navy Chaplaincy, </t>
  </si>
  <si>
    <t>534 F.3d 756, 2008 WL 2938550, 103 Fair Empl.Prac.Cas. (BNA) 1811, 383 U.S.App.D.C. 29, C.A.D.C., August 01, 2008 (NO. 07-5359)</t>
  </si>
  <si>
    <t xml:space="preserve">Indiana Elec. Workers' Pension Trust Fund IBEW v. Shaw Group, Inc., </t>
  </si>
  <si>
    <t>537 F.3d 527, 2008 WL 2894793, Fed. Sec. L. Rep. P 94,790, C.A.5 (La.), July 29, 2008 (NO. 06-30908)</t>
  </si>
  <si>
    <t xml:space="preserve">U.S. v. Funk, </t>
  </si>
  <si>
    <t>534 F.3d 522, 2008 WL 2797020, C.A.6, July 22, 2008 (NO. 05-3708)</t>
  </si>
  <si>
    <t xml:space="preserve">U.S. v. Chartock, </t>
  </si>
  <si>
    <t>283 Fed.Appx. 948, 2008 WL 2569343, C.A.3 (Pa.), June 30, 2008 (NO. 07-1973)</t>
  </si>
  <si>
    <t xml:space="preserve">Butler v. Curry, </t>
  </si>
  <si>
    <t>528 F.3d 624, 2008 WL 2331440, 08 Cal. Daily Op. Serv. 6958, 2008 Daily Journal D.A.R. 8485, C.A.9 (Cal.), June 09, 2008 (NO. 07-56204)</t>
  </si>
  <si>
    <t xml:space="preserve">In re Sealed Case, </t>
  </si>
  <si>
    <t>527 F.3d 188, 2008 WL 2245367, 381 U.S.App.D.C. 237, C.A.D.C., June 03, 2008 (NO. 07-3132)</t>
  </si>
  <si>
    <t xml:space="preserve">U.S. v. Zuniga-Soto, </t>
  </si>
  <si>
    <t>527 F.3d 1110, 2008 WL 2252561, C.A.10 (N.M.), June 03, 2008 (NO. 06-2364)</t>
  </si>
  <si>
    <t xml:space="preserve">In re United Producers, Inc., </t>
  </si>
  <si>
    <t>526 F.3d 942, 2008 WL 2186465, 50 Bankr.Ct.Dec. 2, C.A.6, May 28, 2008 (NO. 06-4429)</t>
  </si>
  <si>
    <t xml:space="preserve">U.S. v. Evans, </t>
  </si>
  <si>
    <t>526 F.3d 155, 2008 WL 2174237, C.A.4 (N.C.), May 27, 2008 (NO. 06-4789)</t>
  </si>
  <si>
    <t xml:space="preserve">Harris v. Haeberlin, </t>
  </si>
  <si>
    <t>526 F.3d 903, 2008 WL 2129764, C.A.6 (Ky.), May 22, 2008 (NO. 05-5591)</t>
  </si>
  <si>
    <t xml:space="preserve">U.S. v. Shi, </t>
  </si>
  <si>
    <t>525 F.3d 709, 2008 WL 1821373, 2008 A.M.C. 1077, 08 Cal. Daily Op. Serv. 4764, 2008 Daily Journal D.A.R. 5879, C.A.9 (Hawai'i), April 24, 2008 (NO. 06-10389)</t>
  </si>
  <si>
    <t xml:space="preserve">Nuxoll ex rel. Nuxoll v. Indian Prairie School Dist. # 204, </t>
  </si>
  <si>
    <t>523 F.3d 668, 2008 WL 1813137, 231 Ed. Law Rep. 618, C.A.7 (Ill.), April 23, 2008 (NO. 08-1050)</t>
  </si>
  <si>
    <t xml:space="preserve">Arguelles-Olivares v. Mukasey, </t>
  </si>
  <si>
    <t>526 F.3d 171, 2008 WL 1799987, C.A.5, April 22, 2008 (NO. 05-60914)</t>
  </si>
  <si>
    <t xml:space="preserve">Clark County, Nev. v. F.A.A., </t>
  </si>
  <si>
    <t>522 F.3d 437, 2008 WL 1757547, 380 U.S.App.D.C. 412, C.A.D.C., April 18, 2008 (NO. 06-1377)</t>
  </si>
  <si>
    <t xml:space="preserve">Morrison v. Board of Educ. of Boyd County, </t>
  </si>
  <si>
    <t>521 F.3d 602, 2008 WL 942047, 231 Ed. Law Rep. 527, C.A.6 (Ky.), April 09, 2008 (NO. 06-5380, 06-5406, 06-5407)</t>
  </si>
  <si>
    <t xml:space="preserve">U.S. v. Kuper, </t>
  </si>
  <si>
    <t>522 F.3d 302, 2008 WL 919677, C.A.3 (Pa.), April 07, 2008 (NO. 07-1916)</t>
  </si>
  <si>
    <t xml:space="preserve">U.S. v. Jeross, </t>
  </si>
  <si>
    <t>521 F.3d 562, 2008 WL 906207, C.A.6 (Mich.), April 04, 2008 (NO. 06-2257, 06-2502)</t>
  </si>
  <si>
    <t xml:space="preserve">McLaughlin v. American Tobacco Co., </t>
  </si>
  <si>
    <t>522 F.3d 215, 2008 WL 878627, RICO Bus.Disp.Guide 11,465, C.A.2 (N.Y.), April 03, 2008 (NO. 06-4666-CV)</t>
  </si>
  <si>
    <t xml:space="preserve">Ramirez v. Mukasey, </t>
  </si>
  <si>
    <t>520 F.3d 47, 2008 WL 682602, C.A.1, March 14, 2008 (NO. 07-1655)</t>
  </si>
  <si>
    <t xml:space="preserve">U.S. v. Thompson, </t>
  </si>
  <si>
    <t>515 F.3d 556, 2008 WL 351283, C.A.6 (Tenn.), February 11, 2008 (NO. 06-6233)</t>
  </si>
  <si>
    <t xml:space="preserve">Cousin v. Bennett, </t>
  </si>
  <si>
    <t>511 F.3d 334, 2008 WL 53257, C.A.2 (N.Y.), January 04, 2008 (NO. 03-2837-PR)</t>
  </si>
  <si>
    <t xml:space="preserve">Chen v. Mukasey, </t>
  </si>
  <si>
    <t>510 F.3d 797, 2007 WL 4482184, C.A.8, December 26, 2007 (NO. 06-3303)</t>
  </si>
  <si>
    <t xml:space="preserve">Ponce v. Socorro Independent School Dist., </t>
  </si>
  <si>
    <t>508 F.3d 765, 2007 WL 4111241, 227 Ed. Law Rep. 561, C.A.5 (Tex.), November 20, 2007 (NO. 06-50709)</t>
  </si>
  <si>
    <t xml:space="preserve">Mueller Copper Tube Products, Inc. v. Pennsylvania Mfrs. Ass'n Ins. Co., </t>
  </si>
  <si>
    <t>254 Fed.Appx. 491, 2007 WL 3390942, C.A.6 (Tenn.), November 13, 2007 (NO. 07-5060)</t>
  </si>
  <si>
    <t xml:space="preserve">Pennsylvania Prison Soc. v. Cortes, </t>
  </si>
  <si>
    <t>508 F.3d 156, 2007 WL 3244012, C.A.3 (Pa.), November 05, 2007 (NO. 06-3370, 06-3354)</t>
  </si>
  <si>
    <t xml:space="preserve">Hinrichs v. Speaker of House of Representatives of Indiana General Assembly, </t>
  </si>
  <si>
    <t>506 F.3d 584, 2007 WL 3146453, 30 A.L.R.6th 737, C.A.7 (Ind.), October 30, 2007 (NO. 05-4781, 05-4604)</t>
  </si>
  <si>
    <t xml:space="preserve">U.S. v. Robison, </t>
  </si>
  <si>
    <t>505 F.3d 1208, 2007 WL 3087419, 65 ERC 1385, 21 Fla. L. Weekly Fed. C 96, C.A.11 (Ala.), October 24, 2007 (NO. 05-17019)</t>
  </si>
  <si>
    <t xml:space="preserve">Watuseke v. Keisler, </t>
  </si>
  <si>
    <t>251 Fed.Appx. 69, 2007 WL 3077269, C.A.2, October 23, 2007 (NO. 07-0565-AG)</t>
  </si>
  <si>
    <t xml:space="preserve">Lumbangaol v. Keisler, </t>
  </si>
  <si>
    <t>258 Fed.Appx. 167, 2007 WL 2993545, C.A.10, October 15, 2007 (NO. 07-9504)</t>
  </si>
  <si>
    <t xml:space="preserve">U.S. ex rel. Sterling v. Health Ins. Plan of Greater New York, Inc., </t>
  </si>
  <si>
    <t>Not Reported in F.Supp.2d, 2008 WL 4449448, Med &amp; Med GD (CCH) P 302,648, S.D.N.Y., September 30, 2008 (NO. 06 CIV. 1141 (PAC))</t>
  </si>
  <si>
    <t xml:space="preserve">Miller ex rel. Miller v. Penn Manor School Dist., </t>
  </si>
  <si>
    <t>588 F.Supp.2d 606, 2008 WL 4450252, 240 Ed. Law Rep. 218, E.D.Pa., September 30, 2008 (NO. CIV.A. 08-CV-00273)</t>
  </si>
  <si>
    <t xml:space="preserve">Dixon v. City of New York, </t>
  </si>
  <si>
    <t>Not Reported in F.Supp.2d, 2008 WL 4453201, E.D.N.Y., September 30, 2008 (NO. 03-CV-343 (DLI) VVP)</t>
  </si>
  <si>
    <t xml:space="preserve">Bagarozy v. Goodwin, </t>
  </si>
  <si>
    <t>Not Reported in F.Supp.2d, 2008 WL 4416455, D.N.J., September 23, 2008 (NO. CIVA 08-0468 SRC)</t>
  </si>
  <si>
    <t xml:space="preserve">American Ass'n of People With Disabilities v. Herrera, </t>
  </si>
  <si>
    <t>580 F.Supp.2d 1195, 2008 WL 4368941, D.N.M., September 17, 2008 (NO. CV 08-0702-JB/WDS)</t>
  </si>
  <si>
    <t>Not Reported in F.Supp.2d, 2008 WL 4287288, M.D.Pa., September 17, 2008 (NO. CRIM. 08-CR-18)</t>
  </si>
  <si>
    <t xml:space="preserve">U.S. v. Hedlund, </t>
  </si>
  <si>
    <t>Not Reported in F.Supp.2d, 2008 WL 4183958, N.D.Cal., September 09, 2008 (NO. CR06346DLJ)</t>
  </si>
  <si>
    <t xml:space="preserve">Paralyzed Veterans of America v. McPherson, </t>
  </si>
  <si>
    <t>Not Reported in F.Supp.2d, 2008 WL 4183981, N.D.Cal., September 09, 2008 (NO. C064670SBA)</t>
  </si>
  <si>
    <t xml:space="preserve">Smith v. Astrue, </t>
  </si>
  <si>
    <t>Not Reported in F.Supp.2d, 2008 WL 4200694, S.D.Tex., September 09, 2008 (NO. CIV. A. H-07-2229)</t>
  </si>
  <si>
    <t xml:space="preserve">Reed v. Brackbill, </t>
  </si>
  <si>
    <t>Not Reported in F.Supp.2d, 2008 WL 4155600, D.Nev., September 05, 2008 (NO. 3:07-CV-149-BES-RAM)</t>
  </si>
  <si>
    <t xml:space="preserve">Holland v. Freeman United Coal Mining Co., </t>
  </si>
  <si>
    <t>574 F.Supp.2d 116, 2008 WL 4078405, 184 L.R.R.M. (BNA) 3256, 156 Lab.Cas. P 11,105, 44 Employee Benefits Cas. 2906, D.D.C., September 04, 2008 (NO. CIV.A.07-0490 PLF, CIV.A.07-1050 PLF)</t>
  </si>
  <si>
    <t xml:space="preserve">Castellani v. Bucks County Municipality, </t>
  </si>
  <si>
    <t>Not Reported in F.Supp.2d, 2008 WL 3984064, E.D.Pa., August 27, 2008 (NO. CIV.A.07-1198)</t>
  </si>
  <si>
    <t xml:space="preserve">U.S. v. Baker, </t>
  </si>
  <si>
    <t>Not Reported in F.Supp.2d, 2008 WL 4056998, E.D.Mich., August 27, 2008 (NO. 06-CR-20663)</t>
  </si>
  <si>
    <t xml:space="preserve">U.S. v. Warshak, </t>
  </si>
  <si>
    <t>Not Reported in F.Supp.2d, 2008 WL 4059811, S.D.Ohio, August 26, 2008 (NO. 1:06-CR-00111)</t>
  </si>
  <si>
    <t xml:space="preserve">Miller v. Holzmann, </t>
  </si>
  <si>
    <t>575 F.Supp.2d 2, 2008 WL 3319032, D.D.C., August 12, 2008 (NO. CIV.A.95-1231(RCL))</t>
  </si>
  <si>
    <t xml:space="preserve">McDougald v. Kennett, </t>
  </si>
  <si>
    <t>Not Reported in F.Supp.2d, 2008 WL 4378073, D.Nev., August 12, 2008 (NO. 3:06-CV-00623-ECR(RA)</t>
  </si>
  <si>
    <t xml:space="preserve">Riback v. Las Vegas Metropolitan Police Dept., </t>
  </si>
  <si>
    <t>Not Reported in F.Supp.2d, 2008 WL 3211279, 104 Fair Empl.Prac.Cas. (BNA) 34, D.Nev., August 06, 2008 (NO. 2:07CV1152RLHLLRL)</t>
  </si>
  <si>
    <t xml:space="preserve">Kanally v. Donat, </t>
  </si>
  <si>
    <t>Not Reported in F.Supp.2d, 2008 WL 3165776, D.Nev., August 04, 2008 (NO. 3:07-CV-00115-HDMRAM)</t>
  </si>
  <si>
    <t xml:space="preserve">EMILY's List v. Federal Election Com'n, </t>
  </si>
  <si>
    <t>569 F.Supp.2d 18, 2008 WL 2938558, D.D.C., July 31, 2008 (NO. CIV. A. 05-0049 CKK)</t>
  </si>
  <si>
    <t xml:space="preserve">U.S. v. Caparotta, </t>
  </si>
  <si>
    <t>571 F.Supp.2d 195, 2008 WL 2982705, D.Me., July 30, 2008 (NO. CR-06-58-B-W)</t>
  </si>
  <si>
    <t xml:space="preserve">Evans-Marshall v. Board of Educ. of Tipp City Exempted Village School Dist., </t>
  </si>
  <si>
    <t>Not Reported in F.Supp.2d, 2008 WL 2987174, S.D.Ohio, July 30, 2008 (NO. 3:03CV091)</t>
  </si>
  <si>
    <t xml:space="preserve">Grose v. Sun Life Assur. Co. of Canada, </t>
  </si>
  <si>
    <t>568 F.Supp.2d 652, 2008 WL 2853216, W.D.Va., July 24, 2008 (NO. 1:07CV00062)</t>
  </si>
  <si>
    <t xml:space="preserve">U.S. v. Orosco, </t>
  </si>
  <si>
    <t>575 F.Supp.2d 1214, 2008 WL 4194878, D.Colo., July 17, 2008 (NO. 07-CR-00275-EWN)</t>
  </si>
  <si>
    <t xml:space="preserve">Estate of Kalahasthi v. U.S., </t>
  </si>
  <si>
    <t>630 F.Supp.2d 1120, 2008 WL 4149823, 102 A.F.T.R.2d 2008-5805, 2008-2 USTC P 50,506, 2008-2 USTC P 60,565, C.D.Cal., July 07, 2008 (NO. CV 07-05771 MMM (RCX)</t>
  </si>
  <si>
    <t xml:space="preserve">Gorton v. Tilton, </t>
  </si>
  <si>
    <t>Not Reported in F.Supp.2d, 2008 WL 2397581, C.D.Cal., June 12, 2008 (NO. EDCV 07-1019 ODW AJW)</t>
  </si>
  <si>
    <t xml:space="preserve">Pugh v. Wynder, </t>
  </si>
  <si>
    <t>Not Reported in F.Supp.2d, 2008 WL 2412978, E.D.Pa., June 10, 2008 (NO. CIV.A. 07-3399)</t>
  </si>
  <si>
    <t xml:space="preserve">Shimoyama v. City of Philadelphia, </t>
  </si>
  <si>
    <t>Not Reported in F.Supp.2d, 2008 WL 2412969, E.D.Pa., June 09, 2008 (NO. CIV.A. 05-6299)</t>
  </si>
  <si>
    <t xml:space="preserve">U.S. v. Booker, </t>
  </si>
  <si>
    <t>555 F.Supp.2d 218, 2008 WL 2211937, D.Me., May 27, 2008 (NO. CR-08-19-B-W)</t>
  </si>
  <si>
    <t xml:space="preserve">In re Impac Mortg. Holdings, Inc. Securities Litigation, </t>
  </si>
  <si>
    <t>554 F.Supp.2d 1083, 2008 WL 2104208, C.D.Cal., May 19, 2008 (NO. CV06-00031 CJC(RNBX))</t>
  </si>
  <si>
    <t xml:space="preserve">Ramirez v. Marshall, </t>
  </si>
  <si>
    <t>Not Reported in F.Supp.2d, 2008 WL 2096346, E.D.Cal., May 16, 2008 (NO. 108CV00550OWWDLBHC)</t>
  </si>
  <si>
    <t xml:space="preserve">Tabarez v. Clark, </t>
  </si>
  <si>
    <t>Not Reported in F.Supp.2d, 2008 WL 2128127, E.D.Cal., May 16, 2008 (NO. 1:07CV1001OWWDLBHC)</t>
  </si>
  <si>
    <t xml:space="preserve">U.S. v. Chatto, </t>
  </si>
  <si>
    <t>Not Reported in F.Supp.2d, 2008 WL 4133192, D.N.M., May 12, 2008 (NO. CR 06-2561 JB)</t>
  </si>
  <si>
    <t xml:space="preserve">Clough v. Evans, </t>
  </si>
  <si>
    <t>554 F.Supp.2d 1110, 2008 WL 2025094, E.D.Cal., May 09, 2008 (NO. CVF 06-0903 DLB HC)</t>
  </si>
  <si>
    <t xml:space="preserve">Smith v. Horel, </t>
  </si>
  <si>
    <t>Not Reported in F.Supp.2d, 2008 WL 2038855, C.D.Cal., May 08, 2008 (NO. CV08-00211JSL(SS))</t>
  </si>
  <si>
    <t xml:space="preserve">Cuff ex rel. B.C. v. Valley Cent. School Dist., </t>
  </si>
  <si>
    <t>559 F.Supp.2d 415, 2008 WL 1990788, 235 Ed. Law Rep. 102, S.D.N.Y., May 05, 2008 (NO. 07 CIV.10996 (WCC))</t>
  </si>
  <si>
    <t xml:space="preserve">Moeller v. Weber, </t>
  </si>
  <si>
    <t>Not Reported in F.Supp.2d, 2008 WL 1957842, D.S.D., May 02, 2008 (NO. CIV. 04-4200)</t>
  </si>
  <si>
    <t xml:space="preserve">Bowen v. Adams, </t>
  </si>
  <si>
    <t>Not Reported in F.Supp.2d, 2008 WL 1932138, E.D.Cal., May 01, 2008 (NO. CVF 07-00366 DLBHC)</t>
  </si>
  <si>
    <t xml:space="preserve">U.S. v. Papakee, </t>
  </si>
  <si>
    <t>550 F.Supp.2d 991, 2008 WL 1882699, N.D.Iowa, April 24, 2008 (NO. 06-CR-162-LRR)</t>
  </si>
  <si>
    <t xml:space="preserve">Gray v. Felker, </t>
  </si>
  <si>
    <t>Not Reported in F.Supp.2d, 2008 WL 1847230, C.D.Cal., April 23, 2008 (NO. CV0800919SGL(SS))</t>
  </si>
  <si>
    <t xml:space="preserve">Johnson v. Sisto, </t>
  </si>
  <si>
    <t>Not Reported in F.Supp.2d, 2008 WL 1751970, E.D.Cal., April 16, 2008 (NO. 108CV00446OWWDLBHC)</t>
  </si>
  <si>
    <t xml:space="preserve">In re Take-Two Interactive Securities Litigation, </t>
  </si>
  <si>
    <t>551 F.Supp.2d 247, 2008 WL 1757823, Fed. Sec. L. Rep. P 94,646, S.D.N.Y., April 16, 2008 (NO. 06 CV. 803 (SWK))</t>
  </si>
  <si>
    <t xml:space="preserve">National Ass'n of Mfrs. v. Taylor, </t>
  </si>
  <si>
    <t>549 F.Supp.2d 33, 2008 WL 1390606, D.D.C., April 11, 2008 (NO. CIV.A. 08-208CKK)</t>
  </si>
  <si>
    <t xml:space="preserve">Disability Law Center of AK, Inc. v. North Star Behavior Health, </t>
  </si>
  <si>
    <t>Not Reported in F.Supp.2d, 2008 WL 853639, D.Alaska, March 27, 2008 (NO. 3:07-CV-00062 JWS)</t>
  </si>
  <si>
    <t xml:space="preserve">Cosco v. Lightsey, </t>
  </si>
  <si>
    <t>Not Reported in F.Supp.2d, 2008 WL 872792, D.Nev., March 27, 2008 (NO. 3:05-CV-78 JCM RAM)</t>
  </si>
  <si>
    <t xml:space="preserve">U.S. v. Farias-Guijarro, </t>
  </si>
  <si>
    <t>Slip Copy, 2008 WL 5993209, D.N.M., March 26, 2008 (NO. CR 07-1777JB)</t>
  </si>
  <si>
    <t xml:space="preserve">Vereen v. Woodland Hills School Dist., </t>
  </si>
  <si>
    <t>Not Reported in F.Supp.2d, 2008 WL 794451, W.D.Pa., March 24, 2008 (NO. CV-06-462)</t>
  </si>
  <si>
    <t xml:space="preserve">Jones v. Michigan Dept. of Corrections, </t>
  </si>
  <si>
    <t>Not Reported in F.Supp.2d, 2008 WL 762241, W.D.Mich., March 18, 2008 (NO. 1:07-CV-392)</t>
  </si>
  <si>
    <t xml:space="preserve">Broder v. Correctional Medical Services, Inc., </t>
  </si>
  <si>
    <t>Not Reported in F.Supp.2d, 2008 WL 704229, E.D.Mich., March 14, 2008 (NO. 03-75106)</t>
  </si>
  <si>
    <t xml:space="preserve">Tarango v. California, </t>
  </si>
  <si>
    <t>Not Reported in F.Supp.2d, 2008 WL 624745, C.D.Cal., March 05, 2008 (NO. CV08-00089 SJO (SS))</t>
  </si>
  <si>
    <t xml:space="preserve">Becker v. Hernandez, </t>
  </si>
  <si>
    <t>Not Reported in F.Supp.2d, 2008 WL 594766, S.D.Cal., February 28, 2008 (NO. 07CV0576 JM (PCL))</t>
  </si>
  <si>
    <t xml:space="preserve">Hart v. Community School Bd. of Brooklyn, New York School Dist. #??21, </t>
  </si>
  <si>
    <t>536 F.Supp.2d 274, 2008 WL 508002, 230 Ed. Law Rep. 209, E.D.N.Y., February 25, 2008 (NO. 72-CV-1041 (JBW))</t>
  </si>
  <si>
    <t>534 F.Supp.2d 645, 2008 WL 420019, E.D.Va., February 13, 2008 (NO. 1:07CR209)</t>
  </si>
  <si>
    <t xml:space="preserve">Davis v. Phenix City, Alabama, </t>
  </si>
  <si>
    <t>Not Reported in F.Supp.2d, 2008 WL 401349, 183 L.R.R.M. (BNA) 2881, M.D.Ala., February 12, 2008 (NO. CIVA 3:06CV544 WHA)</t>
  </si>
  <si>
    <t xml:space="preserve">Eddington v. Adams, </t>
  </si>
  <si>
    <t>Not Reported in F.Supp.2d, 2008 WL 397290, E.D.Cal., February 08, 2008 (NO. CV F 06-1770 DLB HC)</t>
  </si>
  <si>
    <t xml:space="preserve">Fun Services of Kansas City, Inc. v. Hertz Equipment Rental Corp., </t>
  </si>
  <si>
    <t>Not Reported in F.Supp.2d, 2008 WL 341475, D.Kan., February 06, 2008 (NO. 07-2244-CM)</t>
  </si>
  <si>
    <t xml:space="preserve">Vicari v. Ysleta Independent School Dist., </t>
  </si>
  <si>
    <t>546 F.Supp.2d 387, 2008 WL 577171, 232 Ed. Law Rep. 805, W.D.Tex., February 04, 2008 (NO. EP-06-CA-131FM)</t>
  </si>
  <si>
    <t>Not Reported in F.Supp.2d, 2008 WL 282344, W.D.Pa., January 31, 2008 (NO. CIV. A. 06-1050)</t>
  </si>
  <si>
    <t xml:space="preserve">Kershaw v. Harrison, </t>
  </si>
  <si>
    <t>Not Reported in F.Supp.2d, 2008 WL 223727, E.D.Cal., January 28, 2008 (NO. CVF06-1180 DLB HC)</t>
  </si>
  <si>
    <t xml:space="preserve">U.S. ex rel. Duxbury v. Ortho Biotech Products, L.P., </t>
  </si>
  <si>
    <t>551 F.Supp.2d 100, 2008 WL 244304, D.Mass., January 25, 2008 (NO. CIV. A. 03-12189-RWZ)</t>
  </si>
  <si>
    <t xml:space="preserve">Flores v. Hickman, </t>
  </si>
  <si>
    <t>533 F.Supp.2d 1068, 2008 WL 342748, C.D.Cal., January 25, 2008 (NO. CV064299RSWLRC)</t>
  </si>
  <si>
    <t xml:space="preserve">Garcia v. Evans, </t>
  </si>
  <si>
    <t>Not Reported in F.Supp.2d, 2008 WL 214363, E.D.Cal., January 24, 2008 (NO. CVF061725 DLB HC)</t>
  </si>
  <si>
    <t xml:space="preserve">U.S. v. Ashford, </t>
  </si>
  <si>
    <t>Not Reported in F.Supp.2d, 2008 WL 205442, W.D.La., January 23, 2008 (NO. CRIM. 06-10007/01)</t>
  </si>
  <si>
    <t xml:space="preserve">U.S. v. Tulu, </t>
  </si>
  <si>
    <t>535 F.Supp.2d 492, 2008 WL 141201, D.N.J., January 11, 2008 (NO. CRIM.A. 05-840)</t>
  </si>
  <si>
    <t xml:space="preserve">Romanelli v. Suliene, </t>
  </si>
  <si>
    <t>Not Reported in F.Supp.2d, 2008 WL 4587110, W.D.Wis., January 10, 2008 (NO. 3:07-00019-BBC)</t>
  </si>
  <si>
    <t xml:space="preserve">UM </t>
  </si>
  <si>
    <t xml:space="preserve">In re Cochener, </t>
  </si>
  <si>
    <t>382 B.R. 311, 2007 WL 4863747, S.D.Tex., December 28, 2007 (NO. 01-34884-H4-7, CIV. A. H-07-0629)</t>
  </si>
  <si>
    <t xml:space="preserve">Zamecnik v. Indian Prairie School Dist. No. 204 Bd. of Educ., </t>
  </si>
  <si>
    <t>619 F.Supp.2d 517, 2007 WL 4569720, 246 Ed. Law Rep. 80, N.D.Ill., December 21, 2007 (NO. 07 C 1586)</t>
  </si>
  <si>
    <t xml:space="preserve">Raspa v. Home Depot, </t>
  </si>
  <si>
    <t>533 F.Supp.2d 514, 2007 WL 4569887, D.N.J., December 21, 2007 (NO. CIV.A.07CV1893(DMC))</t>
  </si>
  <si>
    <t xml:space="preserve">Penton v. Kernan, </t>
  </si>
  <si>
    <t>528 F.Supp.2d 1020, 2007 WL 4547582, S.D.Cal., December 20, 2007 (NO. 06CV233 WQH PCL)</t>
  </si>
  <si>
    <t xml:space="preserve">USCOC of Greater Missouri, LLC v. City of Ferguson, Mo., </t>
  </si>
  <si>
    <t>Not Reported in F.Supp.2d, 2007 WL 4218978, E.D.Mo., November 29, 2007 (NO. 4:07-CV-1489(JCH))</t>
  </si>
  <si>
    <t>Not Reported in F.Supp.2d, 2007 WL 4118965, W.D.Mich., November 16, 2007 (NO. 2007-CR-102)</t>
  </si>
  <si>
    <t xml:space="preserve">Stormans, Inc. v. Selecky, </t>
  </si>
  <si>
    <t>524 F.Supp.2d 1245, 2007 WL 3358121, 90 Empl. Prac. Dec. P 43,021, W.D.Wash., November 08, 2007 (NO. C07-5374RBL)</t>
  </si>
  <si>
    <t xml:space="preserve">In re Muth, </t>
  </si>
  <si>
    <t>378 B.R. 302, 2007 WL 4226976, Bkrtcy.D.Colo., November 08, 2007 (NO. 06-12797 EEB)</t>
  </si>
  <si>
    <t xml:space="preserve">Baker v. Vanderark, </t>
  </si>
  <si>
    <t>Not Reported in F.Supp.2d, 2007 WL 3244075, W.D.Mich., November 01, 2007 (NO. 1:07-CV-004)</t>
  </si>
  <si>
    <t xml:space="preserve">U.S. v. Lippold, </t>
  </si>
  <si>
    <t>Not Reported in F.Supp.2d, 2007 WL 3232483, 66 ERC 1532, C.D.Ill., October 31, 2007 (NO. 06-30002)</t>
  </si>
  <si>
    <t xml:space="preserve">Jacobs v. Xerox Corp. Long Term Disability Income Plan, </t>
  </si>
  <si>
    <t>520 F.Supp.2d 1022, 2007 WL 3026650, 42 Employee Benefits Cas. 2452, N.D.Ill., October 15, 2007 (NO. 03 C 3549)</t>
  </si>
  <si>
    <t xml:space="preserve">Luna v. Vasquez, </t>
  </si>
  <si>
    <t>Not Reported in F.Supp.2d, 2007 WL 2994669, E.D.Cal., October 12, 2007 (NO. CVF051228LJODLBHC)</t>
  </si>
  <si>
    <t xml:space="preserve">U.S. v. Teagle, </t>
  </si>
  <si>
    <t>Not Reported in F.Supp.2d, 2007 WL 2972554, E.D.Pa., October 10, 2007 (NO. CRIM.A. 06-204)</t>
  </si>
  <si>
    <t xml:space="preserve">Bowler v. Town of Hudson, </t>
  </si>
  <si>
    <t>514 F.Supp.2d 168, 2007 WL 2874393, 225 Ed. Law Rep. 837, D.Mass., October 04, 2007 (NO. CIV.A.05-11007-PBS)</t>
  </si>
  <si>
    <t xml:space="preserve">Nihiser v. C.I.R., </t>
  </si>
  <si>
    <t>T.C. Memo. 2008-135, 2008 WL 2120983, 95 T.C.M. (CCH) 1531, T.C.M. (RIA) 2008-135, 2008 RIA TC Memo 2008-135, U.S.Tax Ct., May 20, 2008 (NO. 19315-04)</t>
  </si>
  <si>
    <t xml:space="preserve">Flamer v. State of Del., </t>
  </si>
  <si>
    <t>68 F.3d 710,  995 WL 6  9 7, C.A.3 (Del.), October  9,  995 (NO. 93-9000)</t>
  </si>
  <si>
    <t xml:space="preserve">Massieu v. Reno, </t>
  </si>
  <si>
    <t>9  F.3d 4 6,  996 WL 420795, 65 USLW 208 , C.A.3 (N.J.), July 29,  996 (NO. 96-5 25)</t>
  </si>
  <si>
    <t xml:space="preserve">U.S. v. Balter, </t>
  </si>
  <si>
    <t>9  F.3d 427,  996 WL 420796, 65 USLW 2 02, 45 Fed. R. Evid. Serv. 337, C.A.3 (N.J.), July 29,  996 (NO. 94-5626, 94-5625, 94-5593)</t>
  </si>
  <si>
    <t xml:space="preserve">In re Westinghouse Securities Litigation, </t>
  </si>
  <si>
    <t>90 F.3d 696,  996 WL 40 555, Fed. Sec. L. Rep. P 99,27 , 35 Fed.R.Serv.3d  449, C.A.3 (Pa.), July  8,  996 (NO. 95-3 56)</t>
  </si>
  <si>
    <t xml:space="preserve">Sheridan v. E.I. Du Pont de Nemours and Co., </t>
  </si>
  <si>
    <t>74 F.3d  439,  996 WL 36283, 70 Fair Empl.Prac.Cas. (BNA) 98, 69 Fair Empl.Prac.Cas. (BNA)  705, 67 Empl. Prac. Dec. P 43,868, 64 USLW 2487, Withdrawn for N.R.S. bound volume, C.A.3 (Del.), January 3 ,  996 (NO. 94-7509)</t>
  </si>
  <si>
    <t xml:space="preserve">Rogal v. American Broadcasting Companies, Inc., </t>
  </si>
  <si>
    <t>74 F.3d 40,  996 WL  2946, 34 Fed.R.Serv.3d 388, 24 Media L. Rep.  497, C.A.3 (Pa.), January  2,  996 (NO. 94-2060)</t>
  </si>
  <si>
    <t xml:space="preserve">U.S. v. $ 84,505.0  in U.S. Currency, </t>
  </si>
  <si>
    <t>72 F.3d   60,  995 WL 764552, C.A.3 (Pa.), December 29,  995 (NO. 94-3528, 94-3675, 94-3674)</t>
  </si>
  <si>
    <t>68 F.3d 736,  995 WL 6  9 6, C.A.3 (Del.), October  9,  995 (NO. 93-9000, 93-9002)</t>
  </si>
  <si>
    <t>Total (um)</t>
  </si>
  <si>
    <t xml:space="preserve">Meyers v. Gillis, </t>
  </si>
  <si>
    <t>93 F.3d   47,  996 WL 47950 , C.A.3 (Pa.), August 23,  996 (NO. 95- 850)</t>
  </si>
  <si>
    <t xml:space="preserve">Mitchum v. Hurt, </t>
  </si>
  <si>
    <t>73 F.3d 30,  995 WL 76455 ,    IER Cases 44 , C.A.3 (Pa.), December 29,  995 (NO. 94-3358)</t>
  </si>
  <si>
    <t xml:space="preserve">Bodine v. Warwick, </t>
  </si>
  <si>
    <t>72 F.3d 393,  995 WL 75955 , C.A.3 (Del.), December 26,  995 (NO. 94-75 0, 94-762 )</t>
  </si>
  <si>
    <t xml:space="preserve">Hakimoglu v. Trump Taj Mahal Associates, </t>
  </si>
  <si>
    <t>70 F.3d 29 ,  995 WL 684852, 64 USLW 2343, C.A.3 (N.J.), November 20,  995 (NO. 95-5087, 95-5022)</t>
  </si>
  <si>
    <t>Total (all m)</t>
  </si>
  <si>
    <t xml:space="preserve">Antol v. Perry, </t>
  </si>
  <si>
    <t>82 F.3d  29 ,  996 WL 22774 ,  52 L.R.R.M. (BNA) 2 35, 70 Fair Empl.Prac.Cas. (BNA) 993, 5 A.D. Cases 769,  6 A.D.D. 653, 8 NDLR P 37, C.A.3 (Pa.), May 07,  996 (NO. 95-3254)</t>
  </si>
  <si>
    <t xml:space="preserve">U.S. v. Copple, </t>
  </si>
  <si>
    <t>74 F.3d 479,  996 WL 38232, C.A.3 (Pa.), February 0 ,  996 (NO. 95-3  9)</t>
  </si>
  <si>
    <t>89 F.3d  009,  996 WL 40 560, 65 USLW 2083,     Ed. Law Rep. 33,  2 IER Cases  368, C.A.3 (Pa.), July  8,  996 (NO. 95-72 8)</t>
  </si>
  <si>
    <t xml:space="preserve">Delli Santi v. CNA Ins. Companies, </t>
  </si>
  <si>
    <t>88 F.3d  92,  996 WL 344678, 7  Fair Empl.Prac.Cas. (BNA)  43, 68 Empl. Prac. Dec. P 44,  0, C.A.3 (N.J.), June 20,  996 (NO. 94-533 , 94-5347)</t>
  </si>
  <si>
    <t xml:space="preserve">U.S. v. Edmonds, </t>
  </si>
  <si>
    <t>80 F.3d 810,  996 WL  55 87, C.A.3 (Pa.), April 04,  996 (NO. 93- 890)</t>
  </si>
  <si>
    <t xml:space="preserve">Artway v. Attorney General of State of N.J., </t>
  </si>
  <si>
    <t>83 F.3d 594,  996 WL 245540, C.A.3 (N.J.), May  3,  996 (NO. 95-5 95, 95-5 94, 95-5 57)</t>
  </si>
  <si>
    <t xml:space="preserve">In re Continental Airlines, </t>
  </si>
  <si>
    <t>9  F.3d 553,  996 WL 426802, 65 USLW 2 07, 36 Collier Bankr.Cas.2d 785, 29 Bankr.Ct.Dec. 629, C.A.3 (Del.), July 3 ,  996 (NO. 94-7748)</t>
  </si>
  <si>
    <t>75 F.3d 868,  996 WL 47653, 64 USLW 2498, 28 Bankr.Ct.Dec. 680, Bankr. L. Rep. P 76,9 4, Withdrawn for N.R.S. bound volume, C.A.3 (Del.), February 07,  996 (NO. 94-7748)</t>
  </si>
  <si>
    <t xml:space="preserve">Government Guarantee Fund of Republic of Finland v. Hyatt Corp., </t>
  </si>
  <si>
    <t>95 F.3d 29 ,  996 WL 5 5843, C.A.3 (Virgin Islands), September  2,  996 (NO. 96-7288)</t>
  </si>
  <si>
    <t xml:space="preserve">First Oak Brook Corp. Syndicate v. Comly Holding Corp., </t>
  </si>
  <si>
    <t>93 F.3d 92,  996 WL 479502, C.A.3 (Pa.), August 23,  996 (NO. 96- 079)</t>
  </si>
  <si>
    <t xml:space="preserve">Kelly v. Drexel University, </t>
  </si>
  <si>
    <t>94 F.3d  02,  996 WL 479503, 7  Fair Empl.Prac.Cas. (BNA)  075, 65 USLW 2 92,     Ed. Law Rep.   60, 5 A.D. Cases  353,  8 A.D.D. 247, 8 NDLR P 298, C.A.3 (Pa.), August 23,  996 (NO. 95-2046)</t>
  </si>
  <si>
    <t xml:space="preserve">U.S. v. Conley, </t>
  </si>
  <si>
    <t>92 F.3d  57,  996 WL 429256, C.A.3 (Pa.), August 0 ,  996 (NO. 95-3556)</t>
  </si>
  <si>
    <t xml:space="preserve">Feige v. Sechrest, </t>
  </si>
  <si>
    <t>90 F.3d 846,  996 WL 420797, C.A.3 (Pa.), July 29,  996 (NO. 95- 236)</t>
  </si>
  <si>
    <t xml:space="preserve">Reich v. D.M. Sabia Co., </t>
  </si>
  <si>
    <t>90 F.3d 854,  996 WL 420806,  5  A.L.R. Fed. 669, 65 USLW 2  4,  7 O.S.H. Cas. (BNA)  680,  995- 997 O.S.H.D. (CCH) P 3 ,  7, C.A.3, July 29,  996 (NO. 95-3697)</t>
  </si>
  <si>
    <t xml:space="preserve">Presbyterian University Hosp. v. N.L.R.B., </t>
  </si>
  <si>
    <t>88 F.3d  300,  996 WL 383272,  52 L.R.R.M. (BNA) 2705,  32 Lab.Cas. P   ,6 6, C.A.3, July  0,  996 (NO. 95-3048, 95-3082)</t>
  </si>
  <si>
    <t xml:space="preserve">U.S. v. Avila, </t>
  </si>
  <si>
    <t>88 F.3d 229,  996 WL 367633, 78 A.F.T.R.2d 96-5 89, 96-2 USTC P 50,357, C.A.3 (N.J.), July 0 ,  996 (NO. 95-5526)</t>
  </si>
  <si>
    <t xml:space="preserve">U.S. v. Brady, </t>
  </si>
  <si>
    <t>88 F.3d 225,  996 WL 367642, C.A.3 (Pa.), June 28,  996 (NO. 95-3660)</t>
  </si>
  <si>
    <t xml:space="preserve">Tate &amp; Lyle, Inc. v. C.I.R., </t>
  </si>
  <si>
    <t>87 F.3d 99,  996 WL 342242, 78 A.F.T.R.2d 96-5240, 65 USLW 2024, 96-2 USTC P 50,340, C.A.3, June 24,  996 (NO. 95-7253)</t>
  </si>
  <si>
    <t xml:space="preserve">American Civil Liberties Union of New Jersey v. Black Horse Pike Regional Bd. of Educ., </t>
  </si>
  <si>
    <t>84 F.3d  47 ,  996 WL 279 89, 64 USLW 2760,  09 Ed. Law Rep.    8, C.A.3 (N.J.), May 24,  996 (NO. 94-5233)</t>
  </si>
  <si>
    <t xml:space="preserve">Kalwaytis v. Preferred Meal Systems, Inc., </t>
  </si>
  <si>
    <t>78 F.3d   7,  996 WL  07504, 64 USLW 2644,  3  Lab.Cas. P   ,5 7,    IER Cases 833, C.A.3 (Pa.), March   ,  996 (NO. 95-7 9 )</t>
  </si>
  <si>
    <t xml:space="preserve">N.L.R.B. v. Konig, </t>
  </si>
  <si>
    <t>79 F.3d 354,  996 WL  07505,  5  L.R.R.M. (BNA) 2682, 64 USLW 2628,  3  Lab.Cas. P   ,5 4, C.A.3, March   ,  996 (NO. 95-3 29, 95-3085)</t>
  </si>
  <si>
    <t xml:space="preserve">U.S. v. Price, </t>
  </si>
  <si>
    <t>76 F.3d 526,  996 WL 67398, C.A.3 (Pa.), February  5,  996 (NO. 95-3333)</t>
  </si>
  <si>
    <t xml:space="preserve">U.S. v. Brothers, </t>
  </si>
  <si>
    <t>75 F.3d 845,  996 WL 38234, C.A.3 (Pa.), February 0 ,  996 (NO. 95- 303)</t>
  </si>
  <si>
    <t xml:space="preserve">H.K. Porter Co., Inc. v. Pennsylvania Ins. Guar. Ass'n, </t>
  </si>
  <si>
    <t>75 F.3d  37,  996 WL  602 , C.A.3 (Pa.), January  8,  996 (NO. 95-3 82)</t>
  </si>
  <si>
    <t xml:space="preserve">U.S. v. Brannan, </t>
  </si>
  <si>
    <t>74 F.3d 448,  996 WL  2948, C.A.3 (Pa.), January  2,  996 (NO. 95-3 08)</t>
  </si>
  <si>
    <t xml:space="preserve">New Jersey Hosp. Ass'n v. Waldman, </t>
  </si>
  <si>
    <t>73 F.3d 509,  995 WL 764547, 49 Soc.Sec.Rep.Serv. 796, Med &amp; Med GD (CCH) P 43,962, C.A.3 (N.J.), December 29,  995 (NO. 95-539 )</t>
  </si>
  <si>
    <t xml:space="preserve">Matter of Penn Cent. Transp. Co., </t>
  </si>
  <si>
    <t>7  F.3d    3,  995 WL 73 7  , 64 USLW 2446,  995-2 Trade Cases P 7 , 94, C.A.3 (Pa.), December  2,  995 (NO. 94-2 54)</t>
  </si>
  <si>
    <t xml:space="preserve">U.S. v. USX Corp., </t>
  </si>
  <si>
    <t>68 F.3d 8  ,  995 WL 6 7823, 4  ERC  385, 64 USLW 2262, 33 Fed.R.Serv.3d 64, 26 Envtl. L. Rep. 20,030, C.A.3 (N.J.), October 23,  995 (NO. 94-568 )</t>
  </si>
  <si>
    <t xml:space="preserve">Harvey &amp; Harvey, Inc. v. County of Chester, </t>
  </si>
  <si>
    <t>68 F.3d 788,  995 WL 6 4535, 4  ERC  577, 64 USLW 2288, 26 Envtl. L. Rep. 20,0 8, C.A.3 (Pa.), October 20,  995 (NO. 94-3622, 94- 924)</t>
  </si>
  <si>
    <t xml:space="preserve">Dayhoff Inc. v. H.J. Heinz Co., </t>
  </si>
  <si>
    <t>86 F.3d  287,  996 WL 343823, C.A.3 (Pa.), June 24,  996 (NO. 96-3250, 95-3404)</t>
  </si>
  <si>
    <t xml:space="preserve">OJ </t>
  </si>
  <si>
    <t xml:space="preserve">Mathews v. Lancaster General Hosp., </t>
  </si>
  <si>
    <t>87 F.3d 624,  996 WL 34492 ,  996-  Trade Cases P 7 ,45 , C.A.3 (Pa.), June 2 ,  996 (NO. 95- 532, 95- 39 , 95- 392, 95- 548)</t>
  </si>
  <si>
    <t>73 F.3d  287,  996 WL  0276,  5  L.R.R.M. (BNA) 2 6 ,  42 A.L.R. Fed. 763,  996 A.M.C.  5 9, 64 USLW 2457,  3  Lab.Cas. P   ,488,    IER Cases 484, C.A.3 (N.J.), January   ,  996 (NO. 95-5027)</t>
  </si>
  <si>
    <t xml:space="preserve">U.S. v. Noland, </t>
  </si>
  <si>
    <t>5 7 U.S. 535,   6 S.Ct.  524,  996 WL 24 657,  34 L.Ed.2d 748, 77 A.F.T.R.2d 96-2 43, 64 USLW 4328, 96-  USTC P 50,252, 35 Collier Bankr.Cas.2d  , 28 Bankr.Ct.Dec.  33 , Bankr. L. Rep. P 76,920,  996-2 C.B.  79, 96 Cal. Daily Op. Serv. 3357, 96 Daily Journal D.A.R. 5442, U.S.Ohio, May  3,  996 (NO. 95-323)</t>
  </si>
  <si>
    <t xml:space="preserve">Dici v. Com. of Pa., </t>
  </si>
  <si>
    <t>9  F.3d 542,  996 WL 42680 , 7  Fair Empl.Prac.Cas. (BNA) 80 , 69 Empl. Prac. Dec. P 44,370, C.A.3 (Pa.), July 3 ,  996 (NO. 95-3579)</t>
  </si>
  <si>
    <t xml:space="preserve">U.S. v. Voigt, </t>
  </si>
  <si>
    <t>89 F.3d  050,  996 WL 380609, 78 A.F.T.R.2d 96-5577, 96-2 USTC P 50,633, C.A.3 (N.J.), July 09,  996 (NO. 95-5092)</t>
  </si>
  <si>
    <t xml:space="preserve">Hein v. F.D.I.C., </t>
  </si>
  <si>
    <t>88 F.3d 2 0,  996 WL 367630, 20 Employee Benefits Cas.  470, Pens. Plan Guide (CCH) P 2392 P, C.A.3 (N.J.), June 28,  996 (NO. 94-564 , 95-5 8 )</t>
  </si>
  <si>
    <t xml:space="preserve">Dade v. North American Philips Corp., </t>
  </si>
  <si>
    <t>68 F.3d  558,  995 WL 638809, 64 USLW 2352,  9 Employee Benefits Cas. 2097, Pens. Plan Guide (CCH) P 239 4Z, C.A.3 (N.J.), November 0 ,  995 (NO. 94-5546)</t>
  </si>
  <si>
    <t xml:space="preserve">Brandon v. Department of Public Welfare, </t>
  </si>
  <si>
    <t>Not Reported in F.Supp.,  996 WL 535077, 69 Empl. Prac. Dec. P 44,272, E.D.Pa., September 23,  996 (NO. CIV. A. 95-CV-5597)</t>
  </si>
  <si>
    <t xml:space="preserve">W.P. v. Poritz, </t>
  </si>
  <si>
    <t>93  F.Supp.   99,  996 WL 374036, D.N.J., July 0 ,  996 (NO. CIVA96-97)</t>
  </si>
  <si>
    <t xml:space="preserve">Teamsters Local Union No.  22 v. August A. Busch &amp; Co. of Massachusetts, Inc., </t>
  </si>
  <si>
    <t>932 F.Supp. 374,  996 WL 392943,  53 L.R.R.M. (BNA) 2249, D.Mass., June 26,  996 (NO. CIV. A. 95- 0494-JLT)</t>
  </si>
  <si>
    <t xml:space="preserve">Kernus v. Morrison, </t>
  </si>
  <si>
    <t>Not Reported in F.Supp.,  996 WL  80005, RICO Bus.Disp.Guide 9026, E.D.Pa., April  5,  996 (NO. CIV. A. 94-3 79)</t>
  </si>
  <si>
    <t xml:space="preserve">Wilcher v. City of Wilmington, </t>
  </si>
  <si>
    <t>924 F.Supp. 6 3,  996 WL 224204, D.Del., March 30,  996 (NO. CIV. A. 94- 37-JJF)</t>
  </si>
  <si>
    <t xml:space="preserve">In re Box Bros. Holding Co., </t>
  </si>
  <si>
    <t xml:space="preserve"> 94 B.R. 32,  996 WL  59440, D.Del., March 04,  996 (NO. CIV.A. 95-267 MMS, CIV.A. 95-276 MMS, CIV.A. 95-34  MMS)</t>
  </si>
  <si>
    <t xml:space="preserve">Barnes v. Southeastern Pennsylvania Transp. Authority, </t>
  </si>
  <si>
    <t>Not Reported in F.Supp.,  996 WL 92098, E.D.Pa., February 28,  996 (NO. 93-3644)</t>
  </si>
  <si>
    <t xml:space="preserve">LeBlanc v. Grelotti, </t>
  </si>
  <si>
    <t>9 0 F.Supp. 826,  995 WL 77 349, D.Mass., December 26,  995 (NO. CIV. A. 90- 0460-NG)</t>
  </si>
  <si>
    <t xml:space="preserve">Western United Life Assur. Co. v. Hayden, </t>
  </si>
  <si>
    <t>64 F.3d 833, 1995 WL 516444, 64 USLW 2192, C.A.3 (Pa.), August 30, 1995 (NO. 94-3548)</t>
  </si>
  <si>
    <t xml:space="preserve">Nicholson v. C.I.R., </t>
  </si>
  <si>
    <t>60 F.3d 1020, 1995 WL 432404, 76 A.F.T.R.2d 95-5701, 95-2 USTC P 50,403, C.A.3, July 24, 1995 (NO. 94-7688)</t>
  </si>
  <si>
    <t xml:space="preserve">Reich v. Compton, </t>
  </si>
  <si>
    <t>57 F.3d 270, 1995 WL 329911, 19 Employee Benefits Cas. 1441, Pens. Plan Guide (CCH) P 23909G, C.A.3 (Pa.), June 05, 1995 (NO. 93-2019)</t>
  </si>
  <si>
    <t xml:space="preserve">Lesal Interiors, Inc. v. Echotree Associates, L.P. (Two Cases), </t>
  </si>
  <si>
    <t>47 F.3d 607, 1995 WL 53176, 63 USLW 2517, C.A.3 (N.J.), February 10, 1995 (NO. 94-5047, 93-5707)</t>
  </si>
  <si>
    <t xml:space="preserve">Stardyne, Inc. v. N.L.R.B., </t>
  </si>
  <si>
    <t>41 F.3d 141, 1994 WL 677924, 147 L.R.R.M. (BNA) 3028, 63 USLW 2379, 129 Lab.Cas. P 11,241, C.A.3, December 06, 1994 (NO. 94-3054, 94-3056, 94-3096)</t>
  </si>
  <si>
    <t xml:space="preserve">U.S. v. Rosero, </t>
  </si>
  <si>
    <t>42 F.3d 166, 1994 WL 664347, C.A.3 (Virgin Islands), November 29, 1994 (NO. 93-7601, 93-7603, 93-7600, 93-7604, 93-7602)</t>
  </si>
  <si>
    <t xml:space="preserve">U.S. v. Fields, </t>
  </si>
  <si>
    <t>39 F.3d 439, 1994 WL 598814, C.A.3 (Pa.), November 03, 1994 (NO. 94-3081, 94-3078)</t>
  </si>
  <si>
    <t>63 F.3d 262, 1995 WL 495896, C.A.3 (N.J.), August 22, 1995 (NO. 94-5569, 94-5570)</t>
  </si>
  <si>
    <t>44 F.3d 1219, 1995 WL 11190, 41 Fed. R. Evid. Serv. 112, C.A.3 (Pa.), January 12, 1995 (NO. 93-3644)</t>
  </si>
  <si>
    <t xml:space="preserve">In re Asbestos School Litigation, </t>
  </si>
  <si>
    <t>46 F.3d 1284, 1994 WL 715042, 63 USLW 2409, 97 Ed. Law Rep. 661, C.A.3 (Pa.), December 28, 1994 (NO. 94-1494)</t>
  </si>
  <si>
    <t xml:space="preserve">Tabas v. Tabas, </t>
  </si>
  <si>
    <t>47 F.3d 1280, 1995 WL 55662, RICO Bus.Disp.Guide 8754, RICO Bus.Disp.Guide 8937, C.A.3 (Pa.), February 13, 1995 (NO. 92-1529, 92-1495)</t>
  </si>
  <si>
    <t xml:space="preserve">U.S. v. Salemo, </t>
  </si>
  <si>
    <t>61 F.3d 214, 1995 WL 440390, C.A.3 (Pa.), July 26, 1995 (NO. 94-1361, 94-1438)</t>
  </si>
  <si>
    <t xml:space="preserve">Baker v. Monroe Tp., </t>
  </si>
  <si>
    <t>50 F.3d 1186, 1995 WL 125470, C.A.3 (N.J.), March 22, 1995 (NO. 94-5069)</t>
  </si>
  <si>
    <t>47 F.3d 1342, 1995 WL 60795, C.A.3 (Pa.), February 15, 1995 (NO. 93-1988)</t>
  </si>
  <si>
    <t xml:space="preserve">Beth V. by Yvonne V. v. Carroll, </t>
  </si>
  <si>
    <t>87 F.3d 80, 1996 WL 344920, 65 USLW 2022, 110 Ed. Law Rep. 585, 17 A.D.D. 38, C.A.3 (Pa.), June 25, 1996 (NO. 95-1097)</t>
  </si>
  <si>
    <t xml:space="preserve">Brader v. Allegheny General Hosp., </t>
  </si>
  <si>
    <t>64 F.3d 869, 1995 WL 517719, 1995-2 Trade Cases P 71,110, C.A.3 (Pa.), September 01, 1995 (NO. 94-3578)</t>
  </si>
  <si>
    <t xml:space="preserve">Parry v. Rosemeyer, </t>
  </si>
  <si>
    <t>64 F.3d 110, 1995 WL 494275, C.A.3 (Pa.), August 21, 1995 (NO. 94-3335)</t>
  </si>
  <si>
    <t xml:space="preserve">Pennsylvania Coal Ass'n v. Babbitt, </t>
  </si>
  <si>
    <t>63 F.3d 231, 1995 WL 486412, 41 ERC 1351, 26 Envtl. L. Rep. 20,220, C.A.3 (Pa.), August 16, 1995 (NO. 94-7538, 94-7558)</t>
  </si>
  <si>
    <t xml:space="preserve">Elizabeth Blackwell Health Center for Women v. Knoll, </t>
  </si>
  <si>
    <t>61 F.3d 170, 1995 WL 434708, 64 USLW 2072, 48 Soc.Sec.Rep.Serv. 450, Med &amp; Med GD (CCH) P 43,994, Med &amp; Med GD (CCH) P 44,022, C.A.3 (Pa.), July 25, 1995 (NO. 94-1954)</t>
  </si>
  <si>
    <t xml:space="preserve">Resolution Trust Corp. v. Cityfed Financial Corp., </t>
  </si>
  <si>
    <t>57 F.3d 1231, 1995 WL 372864, 64 USLW 2017, C.A.3 (N.J.), June 23, 1995 (NO. 94-5308, 94-5307)</t>
  </si>
  <si>
    <t xml:space="preserve">Asplundh Mfg. Div., a Div. of Asplundh Tree Expert Co. v. Benton Harbor Engineering, </t>
  </si>
  <si>
    <t>57 F.3d 1190, 1995 WL 365023, 64 USLW 2006, 42 Fed. R. Evid. Serv. 597, C.A.3 (Pa.), June 20, 1995 (NO. 94-1095, 94-1201)</t>
  </si>
  <si>
    <t xml:space="preserve">Clean Ocean Action v. York, </t>
  </si>
  <si>
    <t>57 F.3d 328, 1995 WL 348925, 41 ERC 1025, 25 Envtl. L. Rep. 21,236, C.A.3 (N.J.), June 12, 1995 (NO. 94-5489)</t>
  </si>
  <si>
    <t xml:space="preserve">Horowitz v. Federal Kemper Life Assur. Co., </t>
  </si>
  <si>
    <t>57 F.3d 300, 1995 WL 340909, C.A.3 (Pa.), June 07, 1995 (NO. 94-1900, 94-1901)</t>
  </si>
  <si>
    <t xml:space="preserve">Affiliated Mfrs., Inc. v. Aluminum Co. of America, </t>
  </si>
  <si>
    <t>56 F.3d 521, 1995 WL 333019, 42 Fed. R. Evid. Serv. 509, C.A.3 (N.J.), June 06, 1995 (NO. 94-5529)</t>
  </si>
  <si>
    <t xml:space="preserve">Whittle v. Local 641, Intern. Broth. of Teamsters, Chauffeurs, Warehousmen and Helpers of America, AFL-CIO, </t>
  </si>
  <si>
    <t>56 F.3d 487, 1995 WL 314660, 149 L.R.R.M. (BNA) 2329, 130 Lab.Cas. P 11,347, C.A.3 (N.J.), May 24, 1995 (NO. 94-5334)</t>
  </si>
  <si>
    <t xml:space="preserve">Christy v. Pennsylvania Turnpike Com'n, </t>
  </si>
  <si>
    <t>54 F.3d 1140, 1995 WL 310848, C.A.3 (Pa.), May 23, 1995 (NO. 94-1386, 94-1398)</t>
  </si>
  <si>
    <t xml:space="preserve">88 Transit Lines, Inc. v. N.L.R.B., </t>
  </si>
  <si>
    <t>55 F.3d 823, 1995 WL 348922, 149 L.R.R.M. (BNA) 2517, 130 Lab.Cas. P 11,346, C.A.3, May 03, 1995 (NO. 94-3492, 94-3550)</t>
  </si>
  <si>
    <t xml:space="preserve">Development Finance Corp. v. Alpha Housing &amp; Health Care, Inc., </t>
  </si>
  <si>
    <t>54 F.3d 156, 1995 WL 239583, 32 Fed.R.Serv.3d 427, C.A.3 (Pa.), April 26, 1995 (NO. 94-3519)</t>
  </si>
  <si>
    <t xml:space="preserve">Simon v. Cebrick, </t>
  </si>
  <si>
    <t>53 F.3d 17, 1995 WL 239584, C.A.3 (N.J.), April 26, 1995 (NO. 94-5429)</t>
  </si>
  <si>
    <t xml:space="preserve">In re General Motors Corp. Pick-Up Truck Fuel Tank Products Liability Litigation, </t>
  </si>
  <si>
    <t>55 F.3d 768, 1995 WL 223209, 63 USLW 2659, 31 Fed.R.Serv.3d 845, C.A.3 (Pa.), April 17, 1995 (NO. 94-1064, 94-1194, 94-1195, 94-1198, 94-1202, 94-1203, 94-1207, 94-1208, 94-1219)</t>
  </si>
  <si>
    <t xml:space="preserve">Christy v. Pa. Turnpike Com'n, </t>
  </si>
  <si>
    <t>Not Reported in F.3d, 1995 WL 127077, C.A.3 (Pa.), March 27, 1995 (NO. 94-1386, 94-1398)</t>
  </si>
  <si>
    <t xml:space="preserve">Abrams v. Lightolier Inc., </t>
  </si>
  <si>
    <t>50 F.3d 1204, 1995 WL 124626, 67 Fair Empl.Prac.Cas. (BNA) 543, 63 USLW 2656, 41 Fed. R. Evid. Serv. 1046, C.A.3 (N.J.), March 24, 1995 (NO. 94-5083, 94-5110)</t>
  </si>
  <si>
    <t xml:space="preserve">Douglas v. Owens, </t>
  </si>
  <si>
    <t>50 F.3d 1226, 1995 WL 124627, 32 Fed.R.Serv.3d 540, 41 Fed. R. Evid. Serv. 602, C.A.3 (Pa.), March 24, 1995 (NO. 94-7406)</t>
  </si>
  <si>
    <t xml:space="preserve">Richardson v. National R.R. Passenger Corp., </t>
  </si>
  <si>
    <t>Not Reported in F.3d, 1995 WL 17207316, C.A.3 (Pa.), March 16, 1995 (NO. 94-1629)</t>
  </si>
  <si>
    <t xml:space="preserve">Beatty v. Danri Corp. &amp; Triangle Enterprises, </t>
  </si>
  <si>
    <t>49 F.3d 993, 1995 WL 94949, 63 USLW 2570, C.A.3, March 09, 1995 (NO. 94-3227)</t>
  </si>
  <si>
    <t xml:space="preserve">Liberty Mut. Ins. Co. v. Ward Trucking Corp., </t>
  </si>
  <si>
    <t>48 F.3d 742, 1995 WL 73745, 63 USLW 2535, C.A.3 (Pa.), February 24, 1995 (NO. 94-3377)</t>
  </si>
  <si>
    <t xml:space="preserve">Atlantic Coast Demolition &amp; Recycling, Inc. v. Board of Chosen Freeholders of Atlantic County, </t>
  </si>
  <si>
    <t>48 F.3d 701, 1995 WL 62074, 40 ERC 1417, 25 Envtl. L. Rep. 20,620, C.A.3 (N.J.), February 16, 1995 (NO. 94-5173)</t>
  </si>
  <si>
    <t>47 F.3d 1333, 1995 WL 60780, C.A.3 (Pa.), February 15, 1995 (NO. 94-1286)</t>
  </si>
  <si>
    <t xml:space="preserve">Jaguar Cars, Inc. v. Royal Oaks Motor Car Co., Inc., </t>
  </si>
  <si>
    <t>46 F.3d 258, 1995 WL 15932, 63 USLW 2469, RICO Bus.Disp.Guide 8722, C.A.3 (N.J.), January 18, 1995 (NO. 93-5783, 93-5784)</t>
  </si>
  <si>
    <t xml:space="preserve">Simmons v. Beyer, </t>
  </si>
  <si>
    <t>44 F.3d 1160, 1995 WL 3406, C.A.3 (N.J.), January 04, 1995 (NO. 92-5370)</t>
  </si>
  <si>
    <t xml:space="preserve">T &amp; N v. Pennsylvania Ins. Guar. Ass'n, </t>
  </si>
  <si>
    <t>44 F.3d 174, 1994 WL 664346, C.A.3 (Pa.), November 29, 1994 (NO. 93-2011, 93-2012)</t>
  </si>
  <si>
    <t xml:space="preserve">U.S. v. Himelwright, </t>
  </si>
  <si>
    <t>42 F.3d 777, 1994 WL 661043, 41 Fed. R. Evid. Serv. 677, C.A.3 (Pa.), November 25, 1994 (NO. 94-7206)</t>
  </si>
  <si>
    <t xml:space="preserve">N.L.R.B. v. Greensburg Coca-Cola Bottling Co., Inc., </t>
  </si>
  <si>
    <t>40 F.3d 669, 1994 WL 660539, 147 L.R.R.M. (BNA) 2897, 63 USLW 2343, 129 Lab.Cas. P 11,231, C.A.3, November 23, 1994 (NO. 93-3564, 93-3604)</t>
  </si>
  <si>
    <t xml:space="preserve">Venen v. U.S., </t>
  </si>
  <si>
    <t>38 F.3d 100, 1994 WL 567016, 74 A.F.T.R.2d 94-6680, 63 USLW 2289, 94-2 USTC P 50,536, C.A.3 (Pa.), October 18, 1994 (NO. 94-3050)</t>
  </si>
  <si>
    <t xml:space="preserve">In re Columbia Gas Transmission Corp., </t>
  </si>
  <si>
    <t>37 F.3d 982, 1994 WL 544075, 74 A.F.T.R.2d 94-6563, Util. L. Rep. P 14,023, Bankr. L. Rep. P 76,318, C.A.3 (Del.), October 05, 1994 (NO. 93-7531, 93-7532)</t>
  </si>
  <si>
    <t>47 F.3d 1311, 1995 WL 60787, 31 Fed.R.Serv.3d 497, C.A.3 (Pa.), February 15, 1995 (NO. 93-2116, 93-2117, 93-1997)</t>
  </si>
  <si>
    <t>62 F.3d 86, 1995 WL 454008, 33 Fed.R.Serv.3d 117, C.A.3 (Del.), July 27, 1995 (NO. 94-9000)</t>
  </si>
  <si>
    <t xml:space="preserve">OJ  </t>
  </si>
  <si>
    <t xml:space="preserve">English v. Mentor Corp., </t>
  </si>
  <si>
    <t>67 F.3d 477, 1995 WL 573387, Prod.Liab.Rep. (CCH) P 14,353, C.A.3 (Pa.), September 29, 1995 (NO. 94-1714)</t>
  </si>
  <si>
    <t>PCJ</t>
  </si>
  <si>
    <t xml:space="preserve">Smith v. Southeastern Pennsylvania Transp. Authority, </t>
  </si>
  <si>
    <t>47 F.3d 97, 1995 WL 53174, 66 Empl. Prac. Dec. P 43,453, 30 Fed.R.Serv.3d 1350, C.A.3 (Pa.), February 10, 1995 (NO. 94-1634)</t>
  </si>
  <si>
    <t xml:space="preserve">Puricelli v. Estate of Bachman, </t>
  </si>
  <si>
    <t>Not Reported in F.Supp., 1995 WL 447474, RICO Bus.Disp.Guide 8861, E.D.Pa., July 27, 1995 (NO. CIV.A. 95-1713)</t>
  </si>
  <si>
    <t>889 F.Supp. 202, 1995 WL 388464, E.D.Pa., June 26, 1995 (NO. CIV. A. 90-5542)</t>
  </si>
  <si>
    <t xml:space="preserve">Heintz Corp. v. Electro Methods, Inc., </t>
  </si>
  <si>
    <t>Not Reported in F.Supp., 1995 WL 405721, E.D.Pa., June 20, 1995 (NO. CIV. A. 94-6916)</t>
  </si>
  <si>
    <t>1995 Term</t>
  </si>
  <si>
    <t>1994 Term</t>
  </si>
  <si>
    <t xml:space="preserve">U.S. v. Mummert, </t>
  </si>
  <si>
    <t>34 F.3d 201, 1994 WL 482602, C.A.3 (Pa.), September 08, 1994 (NO. 94-7119)</t>
  </si>
  <si>
    <t xml:space="preserve">Indiana Hosp., Inc. v. N.L.R.B., </t>
  </si>
  <si>
    <t>10 F.3d 151, 1993 WL 492283, 144 L.R.R.M. (BNA) 2809, 62 USLW 2404, 126 Lab.Cas. P 10,926, C.A.3, November 26, 1993 (NO. 93-3070, 93-3096)</t>
  </si>
  <si>
    <t xml:space="preserve">U.S. v. DeRewal, </t>
  </si>
  <si>
    <t>10 F.3d 100, 1993 WL 454463, C.A.3 (Pa.), November 09, 1993 (NO. 93-1152)</t>
  </si>
  <si>
    <t xml:space="preserve">St. Francis Medical Center v. Shalala, </t>
  </si>
  <si>
    <t>32 F.3d 805, 1994 WL 412374, 45 Soc.Sec.Rep.Serv. 387, Med &amp; Med GD (CCH) P 42,564, C.A.3 (Pa.), August 09, 1994 (NO. 93-3405)</t>
  </si>
  <si>
    <t xml:space="preserve">Government of Virgin Islands v. Charleswell, </t>
  </si>
  <si>
    <t>24 F.3d 571, 1994 WL 195516, 29 Fed.R.Serv.3d 195, C.A.3 (Virgin Islands), May 20, 1994 (NO. 93-7372, 93-7391)</t>
  </si>
  <si>
    <t xml:space="preserve">Com. of Pa., Dept. of Environmental Resources v. Conroy, </t>
  </si>
  <si>
    <t>24 F.3d 568, 1994 WL 193170, 38 ERC 1737, 62 USLW 2784, 25 Bankr.Ct.Dec. 1081, 24 Envtl. L. Rep. 21,365, C.A.3 (Pa.), May 19, 1994 (NO. 93-3284)</t>
  </si>
  <si>
    <t xml:space="preserve">Pemberthy v. Beyer, </t>
  </si>
  <si>
    <t>19 F.3d 857, 1994 WL 80789, 62 USLW 2601, C.A.3 (N.J.), March 16, 1994 (NO. 92-5633, 92-5641)</t>
  </si>
  <si>
    <t xml:space="preserve">U.S. Trustee v. Price Waterhouse, </t>
  </si>
  <si>
    <t>19 F.3d 138, 1994 WL 80793, 62 USLW 2638, 30 Collier Bankr.Cas.2d 1522, 25 Bankr.Ct.Dec. 618, Bankr. L. Rep. P 75,763, C.A.3 (Pa.), March 16, 1994 (NO. 93-3337)</t>
  </si>
  <si>
    <t xml:space="preserve">Matthews v. Pineo, </t>
  </si>
  <si>
    <t>19 F.3d 121, 1994 WL 76636, 62 USLW 2589, 90 Ed. Law Rep. 33, Bankr. L. Rep. P 75,762, C.A.3 (Pa.), March 15, 1994 (NO. 93-3401)</t>
  </si>
  <si>
    <t xml:space="preserve">U.S. v. Sharapan, </t>
  </si>
  <si>
    <t>13 F.3d 781, 1994 WL 9625, C.A.3 (Pa.), January 18, 1994 (NO. 93-3271)</t>
  </si>
  <si>
    <t xml:space="preserve">Com. of Pa., Dept. of Environmental Resources v. U.S. Postal Service, </t>
  </si>
  <si>
    <t>13 F.3d 62, 1993 WL 525044, 37 ERC 1897, 24 Envtl. L. Rep. 20,535, C.A.3 (Pa.), December 21, 1993 (NO. 93-7073)</t>
  </si>
  <si>
    <t xml:space="preserve">Fatin v. I.N.S., </t>
  </si>
  <si>
    <t>12 F.3d 1233, 1993 WL 522827, C.A.3, December 20, 1993 (NO. 92-3346)</t>
  </si>
  <si>
    <t>11 F.3d 1189, 1993 WL 500977, 144 L.R.R.M. (BNA) 2955, 1994 A.M.C. 2112, 127 Lab.Cas. P 10,956, C.A.3 (N.J.), December 08, 1993 (NO. 92-5489)</t>
  </si>
  <si>
    <t xml:space="preserve">U.S. v. Stiver, </t>
  </si>
  <si>
    <t>9 F.3d 298, 1993 WL 462728, C.A.3 (Pa.), November 12, 1993 (NO. 92-3661)</t>
  </si>
  <si>
    <t xml:space="preserve">Lerman v. Joyce Intern., Inc., </t>
  </si>
  <si>
    <t>10 F.3d 106, 1993 WL 457811, RICO Bus.Disp.Guide 8423, C.A.3 (N.J.), November 10, 1993 (NO. 92-5574, 92-5526)</t>
  </si>
  <si>
    <t xml:space="preserve">Purificato v. C.I.R., </t>
  </si>
  <si>
    <t>9 F.3d 290, 1993 WL 458068, 134 A.L.R. Fed. 707, 72 A.F.T.R.2d 93-6559, 93-2 USTC P 50,607, C.A.3, November 10, 1993 (NO. 92-7659)</t>
  </si>
  <si>
    <t xml:space="preserve">U.S. v. Fisher, </t>
  </si>
  <si>
    <t>10 F.3d 115, 1993 WL 458157, C.A.3 (Pa.), November 10, 1993 (NO. 93-7002)</t>
  </si>
  <si>
    <t xml:space="preserve">Rodriguez v. Reading Housing Authority, </t>
  </si>
  <si>
    <t>8 F.3d 961, 1993 WL 454464, C.A.3 (Pa.), November 09, 1993 (NO. 93-1188)</t>
  </si>
  <si>
    <t xml:space="preserve">Gade v. Csomos, </t>
  </si>
  <si>
    <t>8 F.3d 137, 1993 WL 390434, C.A.3 (Pa.), October 06, 1993 (NO. 93-7101)</t>
  </si>
  <si>
    <t xml:space="preserve">Reich v. Local 30, Intern. Broth. of Teamsters, Chauffeurs, Warehousemen, and Helpers of America, AFL-CIO, </t>
  </si>
  <si>
    <t>6 F.3d 978, 1993 WL 390435, 144 L.R.R.M. (BNA) 2393, 147 A.L.R. Fed. 727, 126 Lab.Cas. P 10,883, C.A.3 (Pa.), October 06, 1993 (NO. 91-3799)</t>
  </si>
  <si>
    <t xml:space="preserve">Government of Virgin Islands in Interest of A.M., </t>
  </si>
  <si>
    <t>34 F.3d 153, 1994 WL 432751, 41 Fed. R. Evid. Serv. 12, C.A.3 (Virgin Islands), August 16, 1994 (NO. 93-7736)</t>
  </si>
  <si>
    <t xml:space="preserve">U.S. v. McDade, </t>
  </si>
  <si>
    <t>28 F.3d 283, 1994 WL 259742, 63 USLW 2023, C.A.3 (Pa.), June 15, 1994 (NO. 93-1487)</t>
  </si>
  <si>
    <t xml:space="preserve">Rappa v. New Castle County, </t>
  </si>
  <si>
    <t>18 F.3d 1043, 1994 WL 72658, C.A.3 (Del.), March 11, 1994 (NO. 92-7282, 92-7293)</t>
  </si>
  <si>
    <t xml:space="preserve">In re Texas Eastern Transmission Corp. PCB Contamination Ins. Coverage Litigation, </t>
  </si>
  <si>
    <t>15 F.3d 1249, 1994 WL 4295, 25 Envtl. L. Rep. 21,111, C.A.3 (Pa.), January 10, 1994 (NO. 92-1638)</t>
  </si>
  <si>
    <t>15 F.3d 1230, 1994 WL 4291, 62 USLW 2514, 25 Envtl. L. Rep. 21,102, C.A.3 (Pa.), January 10, 1994 (NO. 92-1638)</t>
  </si>
  <si>
    <t>35 F.3d 835, 1994 WL 507044, C.A.3 (Pa.), September 19, 1994 (NO. 93-7399)</t>
  </si>
  <si>
    <t xml:space="preserve">Glass v. Philadelphia Elec. Co., </t>
  </si>
  <si>
    <t>34 F.3d 188, 1994 WL 482601, 65 Fair Empl.Prac.Cas. (BNA) 1450, 65 Fair Empl.Prac.Cas. (BNA) 1280, 65 Empl. Prac. Dec. P 43,398, 63 USLW 2199, 40 Fed. R. Evid. Serv. 717, C.A.3 (Pa.), September 08, 1994 (NO. 92-1896)</t>
  </si>
  <si>
    <t xml:space="preserve">Luden's Inc. v. Local Union No. 6 of Bakery, Confectionery and Tobacco Workers' Intern. Union of America, </t>
  </si>
  <si>
    <t>28 F.3d 347, 1994 WL 265104, 146 L.R.R.M. (BNA) 2586, 63 USLW 2008, 128 Lab.Cas. P 11,137, C.A.3 (Pa.), June 17, 1994 (NO. 92-1982)</t>
  </si>
  <si>
    <t xml:space="preserve">Tipu v. I.N.S., </t>
  </si>
  <si>
    <t>20 F.3d 580, 1994 WL 111493, C.A.3, April 05, 1994 (NO. 92-3657)</t>
  </si>
  <si>
    <t xml:space="preserve">Johnson &amp; Johnson-Merck Consumer Pharmaceuticals Co. v. Rhone-Poulenc Rorer Pharmaceuticals, Inc., </t>
  </si>
  <si>
    <t>19 F.3d 125, 1994 WL 79981, 1994-1 Trade Cases P 70,537, 30 U.S.P.Q.2d 1112, C.A.3 (Pa.), March 15, 1994 (NO. 93-1349)</t>
  </si>
  <si>
    <t xml:space="preserve">Reich v. Gateway Press, Inc., </t>
  </si>
  <si>
    <t>13 F.3d 685, 1994 WL 1986, 62 USLW 2427, 127 Lab.Cas. P 33,046, 22 Media L. Rep. 1257, 1 Wage &amp; Hour Cas.2d (BNA) 1313, C.A.3 (Pa.), January 06, 1994 (NO. 92-3746, 92-3747)</t>
  </si>
  <si>
    <t xml:space="preserve">Houck v. Drummond, </t>
  </si>
  <si>
    <t>12 F.3d 394, 1993 WL 513480, C.A.3 (Pa.), December 14, 1993 (NO. 93-1130)</t>
  </si>
  <si>
    <t xml:space="preserve">Troy Chemical Corp. v. Teamsters Union Local No. 408, </t>
  </si>
  <si>
    <t>37 F.3d 123, 1994 WL 528583, 147 L.R.R.M. (BNA) 2441, 129 Lab.Cas. P 11,189, C.A.3 (N.J.), September 30, 1994 (NO. 93-5638)</t>
  </si>
  <si>
    <t xml:space="preserve">Jones v. Lilly, </t>
  </si>
  <si>
    <t>37 F.3d 964, 1994 WL 528585, C.A.3 (N.J.), September 30, 1994 (NO. 93-5680, 93-5727)</t>
  </si>
  <si>
    <t xml:space="preserve">Brown v. Borough of Mahaffey, Pa., </t>
  </si>
  <si>
    <t>35 F.3d 846, 1994 WL 528592, 63 USLW 2225, C.A.3 (Pa.), September 30, 1994 (NO. 94-3063)</t>
  </si>
  <si>
    <t>35 F.3d 840, 1994 WL 526371, C.A.3 (Pa.), September 29, 1994 (NO. 93-2034)</t>
  </si>
  <si>
    <t xml:space="preserve">U.S. v. Hyde, </t>
  </si>
  <si>
    <t>37 F.3d 116, 1994 WL 524547, C.A.3 (Virgin Islands), September 28, 1994 (NO. 93-7790)</t>
  </si>
  <si>
    <t xml:space="preserve">Connors v. Fawn Min. Corp., </t>
  </si>
  <si>
    <t>30 F.3d 483, 1994 WL 383139, 146 L.R.R.M. (BNA) 2990, 129 Lab.Cas. P 11,199, Pens. Plan Guide (CCH) P 23898L, C.A.3 (Pa.), July 25, 1994 (NO. 93-3301)</t>
  </si>
  <si>
    <t xml:space="preserve">Government of Virgin Islands v. Robinson, </t>
  </si>
  <si>
    <t>29 F.3d 878, 1994 WL 373802, C.A.3 (Virgin Islands), July 19, 1994 (NO. 93-7675)</t>
  </si>
  <si>
    <t xml:space="preserve">Nowak By and Through Nowak v. Faberge USA Inc., </t>
  </si>
  <si>
    <t>32 F.3d 755, 1994 WL 316805, Prod.Liab.Rep. (CCH) P 13,947, C.A.3 (Pa.), July 06, 1994 (NO. 92-7660, 93-7051)</t>
  </si>
  <si>
    <t xml:space="preserve">Robin Woods Inc. v. Woods, </t>
  </si>
  <si>
    <t>28 F.3d 396, 1994 WL 316841, 31 U.S.P.Q.2d 1476, C.A.3 (Pa.), July 06, 1994 (NO. 93-3333, 93-3314)</t>
  </si>
  <si>
    <t xml:space="preserve">FMC Corp. v. U.S. Dept. of Commerce, </t>
  </si>
  <si>
    <t>29 F.3d 833, 1994 WL 314814, 38 ERC 1889, 127 A.L.R. Fed. 743, 63 USLW 2038, 24 Envtl. L. Rep. 21,097, C.A.3 (Pa.), July 05, 1994 (NO. 92-1945)</t>
  </si>
  <si>
    <t xml:space="preserve">Apex Fountain Sales, Inc. v. Kleinfeld, </t>
  </si>
  <si>
    <t>27 F.3d 931, 1994 WL 284923, 29 Fed.R.Serv.3d 1081, C.A.3 (Pa.), June 29, 1994 (NO. 93-1943)</t>
  </si>
  <si>
    <t xml:space="preserve">Durant v. Husband, </t>
  </si>
  <si>
    <t>28 F.3d 12, 1994 WL 278415, C.A.3 (Virgin Islands), June 24, 1994 (NO. 93-7414)</t>
  </si>
  <si>
    <t xml:space="preserve">Virgin Islands Housing Authority v. Coastal General Const. Services Corp., </t>
  </si>
  <si>
    <t>27 F.3d 911, 1994 WL 278422, C.A.3 (Virgin Islands), June 24, 1994 (NO. 93-7819)</t>
  </si>
  <si>
    <t xml:space="preserve">In re Modular Structures, Inc., </t>
  </si>
  <si>
    <t>27 F.3d 72, 1994 WL 275857, Bankr. L. Rep. P 75,969, C.A.3 (N.J.), June 23, 1994 (NO. 92-5577)</t>
  </si>
  <si>
    <t xml:space="preserve">Sun Buick, Inc. v. Saab Cars USA, Inc., </t>
  </si>
  <si>
    <t>26 F.3d 1259, 1994 WL 268110, C.A.3 (Pa.), June 20, 1994 (NO. 93-7476)</t>
  </si>
  <si>
    <t xml:space="preserve">Robinson v. Arvonio, </t>
  </si>
  <si>
    <t>27 F.3d 877, 1994 WL 259746, C.A.3 (N.J.), June 15, 1994 (NO. 92-5667)</t>
  </si>
  <si>
    <t xml:space="preserve">Graham v. Lanfong, </t>
  </si>
  <si>
    <t>25 F.3d 203, 1994 WL 234677, C.A.3 (Virgin Islands), June 02, 1994 (NO. 93-7676)</t>
  </si>
  <si>
    <t xml:space="preserve">U.S. v. Alcan Aluminum, Inc., </t>
  </si>
  <si>
    <t>25 F.3d 1174, 1994 WL 201751, 38 ERC 1833, 62 USLW 2746, 28 Fed.R.Serv.3d 1075, 24 Envtl. L. Rep. 20,980, C.A.3 (Pa.), May 25, 1994 (NO. 93-1099)</t>
  </si>
  <si>
    <t>24 F.3d 535, 1994 WL 187842, 74 A.F.T.R.2d 94-6133, 62 USLW 2751, 94-1 USTC P 50,237, 39 Fed. R. Evid. Serv. 941, C.A.3 (Pa.), May 17, 1994 (NO. 93-3003)</t>
  </si>
  <si>
    <t xml:space="preserve">Kline v. First Western Government Securities, Inc., </t>
  </si>
  <si>
    <t>24 F.3d 480, 1994 WL 158774, 62 USLW 2704, Fed. Sec. L. Rep. P 98,185, C.A.3 (Pa.), May 02, 1994 (NO. 92-1498, 92-1499)</t>
  </si>
  <si>
    <t xml:space="preserve">Pansy v. Borough of Stroudsburg, </t>
  </si>
  <si>
    <t>23 F.3d 772, 1994 WL 158777, 62 USLW 2693, 28 Fed.R.Serv.3d 1129, 22 Media L. Rep. 1641, C.A.3 (Pa.), May 02, 1994 (NO. 93-7396)</t>
  </si>
  <si>
    <t xml:space="preserve">Fagan v. City of Vineland, </t>
  </si>
  <si>
    <t>22 F.3d 1296, 1994 WL 157899, 62 USLW 2733, C.A.3 (N.J.), April 29, 1994 (NO. 92-5481, 92-5551, 92-5594)</t>
  </si>
  <si>
    <t xml:space="preserve">U.S. v. Obialo, </t>
  </si>
  <si>
    <t>23 F.3d 69, 1994 WL 153519, C.A.3 (Pa.), April 28, 1994 (NO. 93-1648)</t>
  </si>
  <si>
    <t xml:space="preserve">SPM Corp. v. M/V Ming Moon, </t>
  </si>
  <si>
    <t>22 F.3d 523, 1994 WL 125254, 1994 A.M.C. 1758, C.A.3 (N.J.), April 14, 1994 (NO. 93-5307)</t>
  </si>
  <si>
    <t xml:space="preserve">Yonadi v. C.I.R., </t>
  </si>
  <si>
    <t>21 F.3d 1292, 1994 WL 125275, 73 A.F.T.R.2d 94-1713, 62 USLW 2687, 94-1 USTC P 50,183, C.A.3, April 14, 1994 (NO. 93-7353, 93-7354)</t>
  </si>
  <si>
    <t xml:space="preserve">David B. Lilly Co., Inc. v. Fisher, </t>
  </si>
  <si>
    <t>18 F.3d 1112, 1994 WL 80791, C.A.3 (Del.), March 16, 1994 (NO. 93-7036, 93-7061)</t>
  </si>
  <si>
    <t xml:space="preserve">U.S. v. American Ins. Co., </t>
  </si>
  <si>
    <t>18 F.3d 1104, 1994 WL 76639, 73 A.F.T.R.2d 94-1469, 94-1 USTC P 50,131, C.A.3 (Pa.), March 15, 1994 (NO. 93-3325)</t>
  </si>
  <si>
    <t xml:space="preserve">Wagner v. Department of Agriculture, </t>
  </si>
  <si>
    <t>28 F.3d 279, 1994 WL 313762, C.A.3, March 15, 1994 (NO. 93-3318)</t>
  </si>
  <si>
    <t xml:space="preserve">In re Molded Acoustical Products, Inc., </t>
  </si>
  <si>
    <t>18 F.3d 217, 1994 WL 72656, 62 USLW 2622, 30 Collier Bankr.Cas.2d 1289, 25 Bankr.Ct.Dec. 558, Bankr. L. Rep. P 75,760, C.A.3 (Pa.), March 11, 1994 (NO. 93-1154)</t>
  </si>
  <si>
    <t xml:space="preserve">In re Bridge, </t>
  </si>
  <si>
    <t>18 F.3d 195, 1994 WL 58398, 30 Collier Bankr.Cas.2d 1152, 25 Bankr.Ct.Dec. 542, Bankr. L. Rep. P 75,751, C.A.3 (N.J.), March 01, 1994 (NO. 93-5014)</t>
  </si>
  <si>
    <t xml:space="preserve">In re Swedeland Development Group, Inc., </t>
  </si>
  <si>
    <t>16 F.3d 552, 1994 WL 55002, 62 USLW 2579, 30 Collier Bankr.Cas.2d 1034, 25 Bankr.Ct.Dec. 486, Bankr. L. Rep. P 75,803, C.A.3 (N.J.), February 25, 1994 (NO. 92-5552)</t>
  </si>
  <si>
    <t xml:space="preserve">Doherty v. Teamsters Pension Trust Fund of Philadelphia and Vicinity, </t>
  </si>
  <si>
    <t>16 F.3d 1386, 1994 WL 55003, 17 Employee Benefits Cas. 2348, Pens. Plan Guide (CCH) P 23891O, C.A.3 (N.J.), February 25, 1994 (NO. 93-5154)</t>
  </si>
  <si>
    <t xml:space="preserve">In re Coastal Group Inc., </t>
  </si>
  <si>
    <t>13 F.3d 81, 1994 WL 680, 62 USLW 2421, 30 Collier Bankr.Cas.2d 642, 25 Bankr.Ct.Dec. 100, Bankr. L. Rep. P 75,650, C.A.3 (Del.), January 03, 1994 (NO. 93-7349)</t>
  </si>
  <si>
    <t xml:space="preserve">Pope by Pope v. East Brunswick Bd. of Educ., </t>
  </si>
  <si>
    <t>12 F.3d 1244, 1993 WL 530801, 88 Ed. Law Rep. 552, C.A.3 (N.J.), December 23, 1993 (NO. 93-5292)</t>
  </si>
  <si>
    <t xml:space="preserve">Doe v. American Red Cross, </t>
  </si>
  <si>
    <t>14 F.3d 196, 1993 WL 517273, C.A.3 (Pa.), December 16, 1993 (NO. 93-1303, 93-1304)</t>
  </si>
  <si>
    <t xml:space="preserve">Livingstone v. North Belle Vernon Borough, </t>
  </si>
  <si>
    <t>12 F.3d 1205, 1993 WL 514750, C.A.3 (Pa.), December 13, 1993 (NO. 92-3288)</t>
  </si>
  <si>
    <t xml:space="preserve">Jewelcor Inc. v. Asia Commercial Co., Ltd., </t>
  </si>
  <si>
    <t>11 F.3d 394, 1993 WL 492515, 30 Collier Bankr.Cas.2d 328, 27 Fed.R.Serv.3d 1345, 24 Bankr.Ct.Dec. 1636, Bankr. L. Rep. P 75,618, C.A.3 (Pa.), December 01, 1993 (NO. 93-7181)</t>
  </si>
  <si>
    <t xml:space="preserve">Resolution Trust Corp. v. Daddona, </t>
  </si>
  <si>
    <t>9 F.3d 312, 1993 WL 467706, 62 USLW 2325, C.A.3 (Pa.), November 16, 1993 (NO. 93-1195)</t>
  </si>
  <si>
    <t xml:space="preserve">Cain v. Darby Borough, </t>
  </si>
  <si>
    <t>7 F.3d 377, 1993 WL 410028, 139 A.L.R. Fed. 677, C.A.3 (Pa.), October 18, 1993 (NO. 91-1897)</t>
  </si>
  <si>
    <t xml:space="preserve">PAS v. Travelers Ins. Co., </t>
  </si>
  <si>
    <t>7 F.3d 349, 1993 WL 407746, 62 USLW 2242, 17 Employee Benefits Cas. 1797, 4 NDLR P 252, Pens. Plan Guide (CCH) P 23887T, C.A.3 (N.J.), October 14, 1993 (NO. 92-5510, 92-5512)</t>
  </si>
  <si>
    <t xml:space="preserve">In re Donald J. Trump Casino Securities Litigation-Taj Mahal Litigation, </t>
  </si>
  <si>
    <t>7 F.3d 357, 1993 WL 407921, 130 A.L.R. Fed. 633, 62 USLW 2243, Fed. Sec. L. Rep. P 97,789, C.A.3 (N.J.), October 14, 1993 (NO. 92-5350)</t>
  </si>
  <si>
    <t xml:space="preserve">Consumers Produce Co., Inc. v. Volante Wholesale Produce, Inc., </t>
  </si>
  <si>
    <t>16 F.3d 1374, 1994 WL 34053, 128 A.L.R. Fed. 711, 62 USLW 2518, C.A.3 (Pa.), February 09, 1994 (NO. 93-3050)</t>
  </si>
  <si>
    <t xml:space="preserve">Guarino v. Larsen, </t>
  </si>
  <si>
    <t>11 F.3d 1151, 1993 WL 490847, 62 USLW 2380, C.A.3 (Pa.), November 30, 1993 (NO. 93-1365)</t>
  </si>
  <si>
    <t xml:space="preserve">Serbin v. Ziebart Intern. Corp., Inc., </t>
  </si>
  <si>
    <t>11 F.3d 1163, 1993 WL 490869, 124 A.L.R. Fed. 729, 62 USLW 2368, 1993-2 Trade Cases P 70,442, 28 U.S.P.Q.2d 1881, C.A.3 (Pa.), November 30, 1993 (NO. 92-3689, 93-5321)</t>
  </si>
  <si>
    <t xml:space="preserve">In re Dykes, </t>
  </si>
  <si>
    <t>10 F.3d 184, 1993 WL 490865, 62 USLW 2403, 30 Collier Bankr.Cas.2d 236, Bankr. L. Rep. P 75,615, C.A.3 (Pa.), November 30, 1993 (NO. 93-7235)</t>
  </si>
  <si>
    <t xml:space="preserve">Dalton v. Specter, </t>
  </si>
  <si>
    <t>511 U.S. 462, 114 S.Ct. 1719, 1994 WL 197061, 128 L.Ed.2d 497, 62 USLW 4340, U.S.Pa., May 23, 1994 (NO. 93-289)</t>
  </si>
  <si>
    <t xml:space="preserve">N.L.R.B. v. Dredge Operators, Inc., </t>
  </si>
  <si>
    <t>19 F.3d 206, 1994 WL 112860, 146 L.R.R.M. (BNA) 2217, 1994 A.M.C. 1871, 127 Lab.Cas. P 11,079, C.A.5, April 21, 1994 (NO. 93-4847)</t>
  </si>
  <si>
    <t xml:space="preserve">Oil Shipping (Bunkering) B.V. v. Sonmez Denizcilik Ve Ticaret A.S., </t>
  </si>
  <si>
    <t>10 F.3d 1015, 1993 WL 500968, 1994 A.M.C. 892, 62 USLW 2400, C.A.3 (Pa.), December 08, 1993 (NO. 93-1341)</t>
  </si>
  <si>
    <t xml:space="preserve">Retired Chicago Police Ass'n v. City of Chicago, </t>
  </si>
  <si>
    <t>7 F.3d 584, 1993 WL 406036, 27 Fed.R.Serv.3d 311, C.A.7 (Ill.), October 12, 1993 (NO. 92-2314)</t>
  </si>
  <si>
    <t xml:space="preserve">U.S. v. Costales, </t>
  </si>
  <si>
    <t>5 F.3d 480, 1993 WL 393582, C.A.11 (Ga.), October 05, 1993 (NO. 91-8465)</t>
  </si>
  <si>
    <t xml:space="preserve">Kramer v. Raymond Corp., </t>
  </si>
  <si>
    <t>840 F.Supp. 333, 1993 WL 478989, Prod.Liab.Rep. (CCH) P 13,779, E.D.Pa., October 26, 1993 (NO. CIV. 90-5026)</t>
  </si>
  <si>
    <t>1993 Term</t>
  </si>
  <si>
    <t>NOTES</t>
  </si>
  <si>
    <t xml:space="preserve">City of Rancho Palos Verdes, Cal. v. Abrams, </t>
  </si>
  <si>
    <t>544 U.S. 113, 125 S.Ct. 1453, 2005 WL 645209, 161 L.Ed.2d 316, 73 USLW 4217, 05 Cal. Daily Op. Serv. 2405, 2005 Daily Journal D.A.R. 3348, 35 Communications Reg. (P&amp;F) 952, 18 Fla. L. Weekly Fed. S 187, U.S., March 22, 2005 (NO. 03-1601)</t>
  </si>
  <si>
    <t xml:space="preserve">Ignatov v. Gonzales, </t>
  </si>
  <si>
    <t>150 Fed.Appx. 151, 2005 WL 2404993, C.A.3, September 30, 2005 (NO. 04-2409)</t>
  </si>
  <si>
    <t xml:space="preserve">Thomas v. Leach, </t>
  </si>
  <si>
    <t>151 Fed.Appx. 108, 2005 WL 2375222, C.A.3 (Pa.), September 28, 2005 (NO. 05-1818)</t>
  </si>
  <si>
    <t xml:space="preserve">U.S. v. Naranjo, </t>
  </si>
  <si>
    <t>426 F.3d 221, 2005 WL 2334687, C.A.3 (Pa.), September 26, 2005 (NO. 03-4759)</t>
  </si>
  <si>
    <t xml:space="preserve">Morgan v. LaManna, </t>
  </si>
  <si>
    <t>150 Fed.Appx. 145, 2005 WL 2338787, C.A.3 (Pa.), September 26, 2005 (NO. 04-4643)</t>
  </si>
  <si>
    <t xml:space="preserve">Allen v. Ripoll, </t>
  </si>
  <si>
    <t>150 Fed.Appx. 148, 2005 WL 2338790, C.A.3 (Pa.), September 26, 2005 (NO. 05-1021, 05-1436)</t>
  </si>
  <si>
    <t xml:space="preserve">U.S. v. Morris, </t>
  </si>
  <si>
    <t>143 Fed.Appx. 505, 2005 WL 2323131, C.A.3 (Pa.), September 23, 2005 (NO. 04-3050)</t>
  </si>
  <si>
    <t xml:space="preserve">Richards v. Attorney General of U.S., </t>
  </si>
  <si>
    <t>149 Fed.Appx. 114, 2005 WL 2293371, C.A.3, September 21, 2005 (NO. 05-1305, 05-3129)</t>
  </si>
  <si>
    <t xml:space="preserve">Maydak v. U.S. Dept. of Educ., </t>
  </si>
  <si>
    <t>150 Fed.Appx. 136, 2005 WL 2293376, C.A.3 (Pa.), September 21, 2005 (NO. 04-4436)</t>
  </si>
  <si>
    <t xml:space="preserve">Hudson v. Coxon, </t>
  </si>
  <si>
    <t>149 Fed.Appx. 118, 2005 WL 2293379, C.A.3 (Pa.), September 21, 2005 (NO. 05-1542)</t>
  </si>
  <si>
    <t xml:space="preserve">Hattman v. C.I.R., </t>
  </si>
  <si>
    <t>149 Fed.Appx. 121, 2005 WL 2295497, 96 A.F.T.R.2d 2005-6223, C.A.3, September 21, 2005 (NO. 05-1376)</t>
  </si>
  <si>
    <t xml:space="preserve">Romansky v. Stickman, </t>
  </si>
  <si>
    <t>147 Fed.Appx. 310, 2005 WL 2271154, C.A.3 (Pa.), September 19, 2005 (NO. 04-3036)</t>
  </si>
  <si>
    <t xml:space="preserve">Saunders-El v. U.S., </t>
  </si>
  <si>
    <t>144 Fed.Appx. 273, 2005 WL 2271205, C.A.3 (Pa.), September 19, 2005 (NO. 04-2986, 04-4755)</t>
  </si>
  <si>
    <t xml:space="preserve">Forrest v. Beloit Corp., </t>
  </si>
  <si>
    <t>424 F.3d 344, 2005 WL 2245640, 68 Fed. R. Evid. Serv. 288, C.A.3 (Pa.), September 16, 2005 (NO. 04-2184)</t>
  </si>
  <si>
    <t xml:space="preserve">Miller v. Federal Bureau of Prisons, </t>
  </si>
  <si>
    <t>147 Fed.Appx. 302, 2005 WL 2248797, C.A.3 (N.J.), September 16, 2005 (NO. 05-1083, 05-1654)</t>
  </si>
  <si>
    <t>nr</t>
  </si>
  <si>
    <t xml:space="preserve">Baxter v. Baxter, </t>
  </si>
  <si>
    <t>423 F.3d 363, 2005 WL 2233259, C.A.3 (Del.), September 15, 2005 (NO. 04-3228)</t>
  </si>
  <si>
    <t xml:space="preserve">Attoh-Mensah v. Gonzales, </t>
  </si>
  <si>
    <t>147 Fed.Appx. 295, 2005 WL 2225902, C.A.3, September 14, 2005 (NO. 04-1878, 03-3248)</t>
  </si>
  <si>
    <t xml:space="preserve">McDowell v. Philadelphia Housing Authority (PHA), </t>
  </si>
  <si>
    <t>423 F.3d 233, 2005 WL 2208059, C.A.3 (Pa.), September 13, 2005 (NO. 04-2609)</t>
  </si>
  <si>
    <t xml:space="preserve">Rotshteyn v. Agnati, S.P.A., </t>
  </si>
  <si>
    <t>149 Fed.Appx. 63, 2005 WL 2212336, C.A.3 (Pa.), September 13, 2005 (NO. 04-2098)</t>
  </si>
  <si>
    <t xml:space="preserve">Gordon v. Lewistown Hosp., </t>
  </si>
  <si>
    <t>423 F.3d 184, 2005 WL 2179836, 2005-2 Trade Cases P 74,923, C.A.3 (Pa.), September 12, 2005 (NO. 03-3370)</t>
  </si>
  <si>
    <t xml:space="preserve">U.S. v. Bennett, </t>
  </si>
  <si>
    <t>423 F.3d 271, 2005 WL 2179839, C.A.3 (Pa.), September 12, 2005 (NO. 04-3650)</t>
  </si>
  <si>
    <t xml:space="preserve">Franklin Prescriptions, Inc. v. New York Times Co., </t>
  </si>
  <si>
    <t>424 F.3d 336, 2005 WL 2179849, 33 Media L. Rep. 2254, C.A.3 (Pa.), September 12, 2005 (NO. 04-3404)</t>
  </si>
  <si>
    <t xml:space="preserve">Leshko v. Servis, </t>
  </si>
  <si>
    <t>423 F.3d 337, 2005 WL 2174051, C.A.3 (Pa.), September 09, 2005 (NO. 04-2610)</t>
  </si>
  <si>
    <t xml:space="preserve">Richardson v. Pennsylvania Bd. of Probation and Parole, </t>
  </si>
  <si>
    <t>423 F.3d 282, 2005 WL 2155505, C.A.3 (Pa.), September 08, 2005 (NO. 04-2026)</t>
  </si>
  <si>
    <t xml:space="preserve">Warren v. Kyler, </t>
  </si>
  <si>
    <t>422 F.3d 132, 2005 WL 2139962, C.A.3 (Pa.), September 07, 2005 (NO. 03-2190)</t>
  </si>
  <si>
    <t xml:space="preserve">In re Wagner, </t>
  </si>
  <si>
    <t>421 F.3d 275, 2005 WL 2124541, C.A.3 (Pa.), September 06, 2005 (NO. 03-4254)</t>
  </si>
  <si>
    <t xml:space="preserve">U.S. v. Sanchez-Sanchez, </t>
  </si>
  <si>
    <t>148 Fed.Appx. 106, 2005 WL 2136912, C.A.3 (Pa.), September 06, 2005 (NO. 05-2066)</t>
  </si>
  <si>
    <t xml:space="preserve">Jacobs v. Pennsylvania Dept. of Corrections, </t>
  </si>
  <si>
    <t>148 Fed.Appx. 107, 2005 WL 2136915, C.A.3 (Pa.), September 06, 2005 (NO. 05-1455)</t>
  </si>
  <si>
    <t xml:space="preserve">Thibeau v. Apker, </t>
  </si>
  <si>
    <t>148 Fed.Appx. 110, 2005 WL 2136918, C.A.3 (Pa.), September 06, 2005 (NO. 05-2493)</t>
  </si>
  <si>
    <t xml:space="preserve">Garcia v. Plaza Oldsmobile Ltd., </t>
  </si>
  <si>
    <t>421 F.3d 216, 2005 WL 2106169, C.A.3 (Pa.), September 02, 2005 (NO. 04-4332)</t>
  </si>
  <si>
    <t xml:space="preserve">Vitale v. Latrobe Area Hosp., </t>
  </si>
  <si>
    <t>420 F.3d 278, 2005 WL 2063879, 35 Employee Benefits Cas. 2057, Pens. Plan Guide (CCH) P 23,993C, C.A.3 (Pa.), August 29, 2005 (NO. 04-3243)</t>
  </si>
  <si>
    <t xml:space="preserve">Brody v. Hankin, </t>
  </si>
  <si>
    <t>145 Fed.Appx. 768, 2005 WL 2077180, RICO Bus.Disp.Guide 10,927, C.A.3 (Pa.), August 29, 2005 (NO. 04-1376)</t>
  </si>
  <si>
    <t xml:space="preserve">In re Merrimac Paper Co., Inc., </t>
  </si>
  <si>
    <t>420 F.3d 53, 2005 WL 2037416, 45 Bankr.Ct.Dec. 56, Bankr. L. Rep. P 80,351, 35 Employee Benefits Cas. 1968, C.A.1 (Mass.), August 25, 2005 (NO. 05-1010)</t>
  </si>
  <si>
    <t xml:space="preserve">Shingara v. Skiles, </t>
  </si>
  <si>
    <t>420 F.3d 301, 2005 WL 2024890, 62 Fed.R.Serv.3d 695, 23 IER Cases 550, 34 Media L. Rep. 1001, C.A.3 (Pa.), August 24, 2005 (NO. 05-2376)</t>
  </si>
  <si>
    <t xml:space="preserve">DiGiacomo v. Teamsters Pension Trust Fund of Philadelphia and Vicinity, </t>
  </si>
  <si>
    <t>420 F.3d 220, 2005 WL 2024923, 35 Employee Benefits Cas. 1961, Pens. Plan Guide (CCH) P 23,992Y, C.A.3 (Pa.), August 24, 2005 (NO. 04-3510)</t>
  </si>
  <si>
    <t xml:space="preserve">Dobrek v. Phelan, </t>
  </si>
  <si>
    <t>419 F.3d 259, 2005 WL 1963036, 54 Collier Bankr.Cas.2d 1120, 45 Bankr.Ct.Dec. 35, Bankr. L. Rep. P 80,339, C.A.3 (N.J.), August 17, 2005 (NO. 04-3391)</t>
  </si>
  <si>
    <t>145 Fed.Appx. 722, 2005 WL 1939686, C.A.3 (Pa.), August 12, 2005 (NO. 04-1548)</t>
  </si>
  <si>
    <t xml:space="preserve">Oyebanji v. Gonzales, </t>
  </si>
  <si>
    <t>418 F.3d 260, 2005 WL 1903812, C.A.3 (N.J.), August 11, 2005 (NO. 03-4143)</t>
  </si>
  <si>
    <t xml:space="preserve">Partyka v. Attorney General of U.S., </t>
  </si>
  <si>
    <t>417 F.3d 408, 2005 WL 1906903, C.A.3, August 11, 2005 (NO. 04-2804)</t>
  </si>
  <si>
    <t xml:space="preserve">Chandra v. Attorney General of U.S., </t>
  </si>
  <si>
    <t>142 Fed.Appx. 623, 2005 WL 1916337, C.A.3, August 11, 2005 (NO. 04-1917)</t>
  </si>
  <si>
    <t xml:space="preserve">Spinelli v. Costco Wholesale Corp., </t>
  </si>
  <si>
    <t>144 Fed.Appx. 258, 2005 WL 1901534, C.A.3 (Pa.), August 10, 2005 (NO. 04-2183)</t>
  </si>
  <si>
    <t xml:space="preserve">U.S. v. Santos, </t>
  </si>
  <si>
    <t>140 Fed.Appx. 420, 2005 WL 1901536, C.A.3 (Pa.), August 10, 2005 (NO. 04-4768, 05-1244)</t>
  </si>
  <si>
    <t xml:space="preserve">Mkanyia v. Gonzales, </t>
  </si>
  <si>
    <t>140 Fed.Appx. 422, 2005 WL 1901552, C.A.3, August 10, 2005 (NO. 04-2094)</t>
  </si>
  <si>
    <t xml:space="preserve">In re Erie Forge &amp; Steel, Inc., </t>
  </si>
  <si>
    <t>418 F.3d 270, 2005 WL 1869141, 177 L.R.R.M. (BNA) 3117, 45 Bankr.Ct.Dec. 23, Bankr. L. Rep. P 80,336, 35 Employee Benefits Cas. 2870, C.A.3 (Pa.), August 09, 2005 (NO. 04-1615)</t>
  </si>
  <si>
    <t xml:space="preserve">Mohabir v. Gonzales, </t>
  </si>
  <si>
    <t>140 Fed.Appx. 415, 2005 WL 1874709, C.A.3, August 09, 2005 (NO. 04-2122)</t>
  </si>
  <si>
    <t xml:space="preserve">Wolfe v. Frank, </t>
  </si>
  <si>
    <t>142 Fed.Appx. 607, 2005 WL 1865398, C.A.3 (Pa.), August 08, 2005 (NO. 02-4003)</t>
  </si>
  <si>
    <t xml:space="preserve">DeBiasse v. Chevy Chase Bank Corp., </t>
  </si>
  <si>
    <t>144 Fed.Appx. 245, 2005 WL 1841676, C.A.3 (N.J.), August 04, 2005 (NO. 05-2452)</t>
  </si>
  <si>
    <t xml:space="preserve">Bartlebaugh v. Corcoran, </t>
  </si>
  <si>
    <t>140 Fed.Appx. 412, 2005 WL 1841678, C.A.3 (Pa.), August 04, 2005 (NO. 05-1874)</t>
  </si>
  <si>
    <t xml:space="preserve">Strope v. Schuylkill, </t>
  </si>
  <si>
    <t>143 Fed.Appx. 471, 2005 WL 1841682, C.A.3 (Pa.), August 04, 2005 (NO. 05-2283)</t>
  </si>
  <si>
    <t xml:space="preserve">Herrera v. Williamson, </t>
  </si>
  <si>
    <t>143 Fed.Appx. 473, 2005 WL 1841870, C.A.3 (Pa.), August 04, 2005 (NO. 05-1923)</t>
  </si>
  <si>
    <t xml:space="preserve">Kong v. Gonzales, </t>
  </si>
  <si>
    <t>140 Fed.Appx. 412, 2005 WL 1842117, C.A.3, August 04, 2005 (NO. 04-1989)</t>
  </si>
  <si>
    <t xml:space="preserve">Johnson v. Apker, </t>
  </si>
  <si>
    <t>142 Fed.Appx. 604, 2005 WL 1842227, C.A.3 (Pa.), August 04, 2005 (NO. 05-2258)</t>
  </si>
  <si>
    <t xml:space="preserve">In re Abdul-Malik, </t>
  </si>
  <si>
    <t>143 Fed.Appx. 476, 2005 WL 1842336, C.A.3 (N.J.), August 04, 2005 (NO. 04-3991)</t>
  </si>
  <si>
    <t xml:space="preserve">U.S. v. Ritter, </t>
  </si>
  <si>
    <t>416 F.3d 256, 2005 WL 1813268, C.A.3 (Virgin Islands), August 03, 2005 (NO. 04-3489)</t>
  </si>
  <si>
    <t xml:space="preserve">In re Davis, </t>
  </si>
  <si>
    <t>142 Fed.Appx. 596, 2005 WL 1842339, C.A.3, August 03, 2005 (NO. 04-2443)</t>
  </si>
  <si>
    <t xml:space="preserve">Solomon v. Philadelphia Housing Authority, </t>
  </si>
  <si>
    <t>143 Fed.Appx. 447, 2005 WL 1805616, C.A.3 (Pa.), August 02, 2005 (NO. 04-3004)</t>
  </si>
  <si>
    <t xml:space="preserve">Alexander v. Gennarini, </t>
  </si>
  <si>
    <t>144 Fed.Appx. 924, 2005 WL 1805621, C.A.3 (Pa.), August 02, 2005 (NO. 04-3781)</t>
  </si>
  <si>
    <t xml:space="preserve">Shelley v. Sprowls, </t>
  </si>
  <si>
    <t>143 Fed.Appx. 459, 2005 WL 1805665, C.A.3 (Pa.), August 02, 2005 (NO. 05-1909)</t>
  </si>
  <si>
    <t xml:space="preserve">Hill v. True, </t>
  </si>
  <si>
    <t>142 Fed.Appx. 129, 2005 WL 1805671, C.A.3 (Pa.), August 02, 2005 (NO. 04-4742)</t>
  </si>
  <si>
    <t xml:space="preserve">Hazel v. Smith, </t>
  </si>
  <si>
    <t>142 Fed.Appx. 131, 2005 WL 1805673, C.A.3 (Pa.), August 02, 2005 (NO. 05-1564)</t>
  </si>
  <si>
    <t xml:space="preserve">In re Hale, </t>
  </si>
  <si>
    <t>140 Fed.Appx. 410, 2005 WL 1805675, C.A.3 (Pa.), August 02, 2005 (NO. 05-2560)</t>
  </si>
  <si>
    <t>417 F.3d 373, 2005 WL 1798038, C.A.3 (Pa.), August 01, 2005 (NO. 04-4043)</t>
  </si>
  <si>
    <t xml:space="preserve">Ash v. Redevelopment Authority of Philadelphia, </t>
  </si>
  <si>
    <t>143 Fed.Appx. 439, 2005 WL 1798276, C.A.3 (Pa.), August 01, 2005 (NO. 04-4356)</t>
  </si>
  <si>
    <t xml:space="preserve">Farah v. Gonzales, </t>
  </si>
  <si>
    <t>140 Fed.Appx. 405, 2005 WL 1798282, C.A.3, August 01, 2005 (NO. 04-1295)</t>
  </si>
  <si>
    <t xml:space="preserve">U.S. v. Miller, </t>
  </si>
  <si>
    <t>417 F.3d 358, 2005 WL 1791999, C.A.3 (Pa.), July 29, 2005 (NO. 03-1519)</t>
  </si>
  <si>
    <t xml:space="preserve">Maria C. ex rel. Camacho v. School Dist. of Philadelphia, </t>
  </si>
  <si>
    <t>142 Fed.Appx. 78, 2005 WL 1793505, 201 Ed. Law Rep. 481, C.A.3 (Pa.), July 29, 2005 (NO. 04-2630, 04-2756)</t>
  </si>
  <si>
    <t xml:space="preserve">Kreider Dairy Farms, Inc. v. Veneman, </t>
  </si>
  <si>
    <t>142 Fed.Appx. 581, 2005 WL 1787283, C.A.3 (Pa.), July 28, 2005 (NO. 04-3369)</t>
  </si>
  <si>
    <t xml:space="preserve">Siswanto v. Attorney General of U.S., </t>
  </si>
  <si>
    <t>140 Fed.Appx. 393, 2005 WL 1787671, C.A.3, July 28, 2005 (NO. 04-3172)</t>
  </si>
  <si>
    <t xml:space="preserve">Dubois v. Abode, </t>
  </si>
  <si>
    <t>142 Fed.Appx. 59, 2005 WL 1791696, C.A.3 (N.J.), July 27, 2005 (NO. 04-4682)</t>
  </si>
  <si>
    <t>142 Fed.Appx. 62, 2005 WL 1793449, C.A.3 (N.J.), July 27, 2005 (NO. 04-4653)</t>
  </si>
  <si>
    <t xml:space="preserve">U.S. v. Stevens, </t>
  </si>
  <si>
    <t>140 Fed.Appx. 389, 2005 WL 1793450, C.A.3 (Pa.), July 27, 2005 (NO. 04-1194)</t>
  </si>
  <si>
    <t xml:space="preserve">Hess v. Kunkle, </t>
  </si>
  <si>
    <t>142 Fed.Appx. 578, 2005 WL 1750067, C.A.3 (Pa.), July 26, 2005 (NO. 05-1248)</t>
  </si>
  <si>
    <t xml:space="preserve">U.S. v. Bronson, </t>
  </si>
  <si>
    <t>141 Fed.Appx. 78, 2005 WL 1715776, C.A.3 (Pa.), July 25, 2005 (NO. 04-3297)</t>
  </si>
  <si>
    <t>142 Fed.Appx. 573, 2005 WL 1706096, C.A.3 (N.J.), July 22, 2005 (NO. 04-3331)</t>
  </si>
  <si>
    <t xml:space="preserve">Brunner v. C.I.R., </t>
  </si>
  <si>
    <t>142 Fed.Appx. 53, 2005 WL 1703166, 96 A.F.T.R.2d 2005-5328, 2005-2 USTC P 50,488, C.A.3, July 21, 2005 (NO. 04-4230)</t>
  </si>
  <si>
    <t>139 Fed.Appx. 455, 2005 WL 1678981, C.A.3 (Pa.), July 19, 2005 (NO. 03-3131)</t>
  </si>
  <si>
    <t xml:space="preserve">Hidayat v. Attorney General of U.S., </t>
  </si>
  <si>
    <t>139 Fed.Appx. 433, 2005 WL 1662139, C.A.3, July 18, 2005 (NO. 04-1349)</t>
  </si>
  <si>
    <t xml:space="preserve">Kelley v. Barnhart, </t>
  </si>
  <si>
    <t>138 Fed.Appx. 505, 2005 WL 1634304, 106 Soc.Sec.Rep.Serv. 8, C.A.3 (N.J.), July 13, 2005 (NO. 04-3504)</t>
  </si>
  <si>
    <t xml:space="preserve">U.S. v. Morgan, </t>
  </si>
  <si>
    <t>139 Fed.Appx. 398, 2005 WL 1638163, C.A.3 (Pa.), July 13, 2005 (NO. 04-2714)</t>
  </si>
  <si>
    <t xml:space="preserve">Russell v. Pugh, </t>
  </si>
  <si>
    <t>143 Fed.Appx. 408, 2005 WL 1621172, C.A.3 (Pa.), July 12, 2005 (NO. 04-1301, 04-2034)</t>
  </si>
  <si>
    <t xml:space="preserve">Li v. Gonzales, </t>
  </si>
  <si>
    <t>138 Fed.Appx. 489, 2005 WL 1621199, C.A.3, July 12, 2005 (NO. 04-2407)</t>
  </si>
  <si>
    <t xml:space="preserve">Reyes v. Freeberry, </t>
  </si>
  <si>
    <t>141 Fed.Appx. 49, 2005 WL 1604005, C.A.3 (Del.), July 08, 2005 (NO. 04-3400)</t>
  </si>
  <si>
    <t xml:space="preserve">In re Georges, </t>
  </si>
  <si>
    <t>138 Fed.Appx. 471, 2005 WL 1604010, C.A.3 (Pa.), July 08, 2005 (NO. 04-3423)</t>
  </si>
  <si>
    <t xml:space="preserve">In re Mendez, </t>
  </si>
  <si>
    <t>137 Fed.Appx. 502, 2005 WL 1530220, C.A.3 (Virgin Islands), June 30, 2005 (NO. 05-1472)</t>
  </si>
  <si>
    <t xml:space="preserve">Burnside v. Moser, </t>
  </si>
  <si>
    <t>138 Fed.Appx. 414, 2005 WL 1532429, C.A.3 (Pa.), June 30, 2005 (NO. 04-4713)</t>
  </si>
  <si>
    <t xml:space="preserve">Nye v. Federal Bureau of Prisons, </t>
  </si>
  <si>
    <t>137 Fed.Appx. 509, 2005 WL 1532439, C.A.3 (Pa.), June 30, 2005 (NO. 04-3864)</t>
  </si>
  <si>
    <t xml:space="preserve">Boatner v. Hinds, </t>
  </si>
  <si>
    <t>137 Fed.Appx. 499, 2005 WL 1526322, C.A.3 (Pa.), June 29, 2005 (NO. 05-1320)</t>
  </si>
  <si>
    <t xml:space="preserve">Perez v. McKean, </t>
  </si>
  <si>
    <t>136 Fed.Appx. 542, 2005 WL 1526323, C.A.3 (Pa.), June 29, 2005 (NO. 05-1034)</t>
  </si>
  <si>
    <t xml:space="preserve">Nelson v. Horn, </t>
  </si>
  <si>
    <t>138 Fed.Appx. 411, 2005 WL 1526454, C.A.3 (Pa.), June 29, 2005 (NO. 03-2284)</t>
  </si>
  <si>
    <t xml:space="preserve">McEachin v. Beard, </t>
  </si>
  <si>
    <t>136 Fed.Appx. 534, 2005 WL 1515086, C.A.3 (Pa.), June 28, 2005 (NO. 04-2729)</t>
  </si>
  <si>
    <t xml:space="preserve">Overall v. University of Pa., </t>
  </si>
  <si>
    <t>412 F.3d 492, 2005 WL 1500906, 151 Lab.Cas. P 60,038, 199 Ed. Law Rep. 75, 23 IER Cases 130, C.A.3 (Pa.), June 27, 2005 (NO. 04-1090)</t>
  </si>
  <si>
    <t xml:space="preserve">Wrench Transp. Services, Inc. v. Bradley, </t>
  </si>
  <si>
    <t>136 Fed.Appx. 521, 2005 WL 1503887, C.A.3 (N.J.), June 27, 2005 (NO. 04-1772)</t>
  </si>
  <si>
    <t xml:space="preserve">U.S. v. Jimenez-Calderon, </t>
  </si>
  <si>
    <t>135 Fed.Appx. 561, 2005 WL 1503889, C.A.3 (N.J.), June 27, 2005 (NO. 03-3738)</t>
  </si>
  <si>
    <t xml:space="preserve">In re Jimenez, </t>
  </si>
  <si>
    <t>135 Fed.Appx. 544, 2005 WL 1475643, C.A.3 (Pa.), June 23, 2005 (NO. 05-1910)</t>
  </si>
  <si>
    <t xml:space="preserve">Viggiano v. State of New Jersey, </t>
  </si>
  <si>
    <t>136 Fed.Appx. 515, 2005 WL 1488110, C.A.3 (N.J.), June 23, 2005 (NO. 04-3625)</t>
  </si>
  <si>
    <t xml:space="preserve">Jones v. Falor, </t>
  </si>
  <si>
    <t>135 Fed.Appx. 554, 2005 WL 1488380, C.A.3 (Pa.), June 23, 2005 (NO. 04-4790)</t>
  </si>
  <si>
    <t xml:space="preserve">Thomas v. Fetzko, </t>
  </si>
  <si>
    <t>138 Fed.Appx. 405, 2005 WL 1432459, C.A.3 (Pa.), June 21, 2005 (NO. 03-2381, 03-2382)</t>
  </si>
  <si>
    <t xml:space="preserve">Rosal-Olavarrieta v. Gonzales, </t>
  </si>
  <si>
    <t>134 Fed.Appx. 593, 2005 WL 1423275, C.A.3, June 20, 2005 (NO. 04-2408)</t>
  </si>
  <si>
    <t xml:space="preserve">McLaughlin v. City of Atlantic City, </t>
  </si>
  <si>
    <t>143 Fed.Appx. 402, 2005 WL 1427498, C.A.3 (N.J.), June 20, 2005 (NO. 04-3597)</t>
  </si>
  <si>
    <t xml:space="preserve">In re Joubert, </t>
  </si>
  <si>
    <t>411 F.3d 452, 2005 WL 1404699, Bankr. L. Rep. P 80,302, C.A.3 (Pa.), June 16, 2005 (NO. 04-1373)</t>
  </si>
  <si>
    <t>138 Fed.Appx. 403, 2005 WL 1400313, C.A.3 (Pa.), June 15, 2005 (NO. 04-3080)</t>
  </si>
  <si>
    <t xml:space="preserve">U.S. v. Guzman, </t>
  </si>
  <si>
    <t>135 Fed.Appx. 529, 2005 WL 1400315, C.A.3 (N.J.), June 15, 2005 (NO. 03-3068)</t>
  </si>
  <si>
    <t xml:space="preserve">Verbejus v. Gonzales, </t>
  </si>
  <si>
    <t>134 Fed.Appx. 553, 2005 WL 1400317, C.A.3, June 15, 2005 (NO. 04-1756)</t>
  </si>
  <si>
    <t xml:space="preserve">Hartford Ins. Co. of Midwest v. Green, </t>
  </si>
  <si>
    <t>134 Fed.Appx. 555, 2005 WL 1400318, C.A.3 (Pa.), June 15, 2005 (NO. 04-1929)</t>
  </si>
  <si>
    <t xml:space="preserve">Longport Ocean Plaza Condominium, Inc. v. Robert Cato &amp; Associates, Inc., </t>
  </si>
  <si>
    <t>137 Fed.Appx. 464, 2005 WL 1394838, C.A.3 (Pa.), June 14, 2005 (NO. 03-3814, 03-3882)</t>
  </si>
  <si>
    <t xml:space="preserve">Chernavsky v. Township of Holmdel Police Dept., </t>
  </si>
  <si>
    <t>136 Fed.Appx. 507, 2005 WL 1394865, C.A.3 (N.J.), June 14, 2005 (NO. 04-3621)</t>
  </si>
  <si>
    <t xml:space="preserve">Liu v. Oriental Buffet, </t>
  </si>
  <si>
    <t>134 Fed.Appx. 544, 2005 WL 1394939, C.A.3 (N.J.), June 14, 2005 (NO. 04-2850)</t>
  </si>
  <si>
    <t xml:space="preserve">Mitchell v. Obenski, </t>
  </si>
  <si>
    <t>134 Fed.Appx. 548, 2005 WL 1394940, C.A.3 (Pa.), June 14, 2005 (NO. 04-3730)</t>
  </si>
  <si>
    <t xml:space="preserve">Span v. Flaherty, </t>
  </si>
  <si>
    <t>135 Fed.Appx. 525, 2005 WL 1367215, C.A.3 (Pa.), June 10, 2005 (NO. 04-2769)</t>
  </si>
  <si>
    <t xml:space="preserve">Gueson v. Sheppard, </t>
  </si>
  <si>
    <t>133 Fed.Appx. 841, 2005 WL 1367225, C.A.3 (Pa.), June 10, 2005 (NO. 04-1898)</t>
  </si>
  <si>
    <t xml:space="preserve">Mati v. Gonzales, </t>
  </si>
  <si>
    <t>133 Fed.Appx. 844, 2005 WL 1367810, C.A.3, June 10, 2005 (NO. 04-2964)</t>
  </si>
  <si>
    <t xml:space="preserve">McDaniels v. Commissioner of Social Sec., </t>
  </si>
  <si>
    <t>136 Fed.Appx. 485, 2005 WL 1385894, 105 Soc.Sec.Rep.Serv. 626, C.A.3 (N.J.), June 10, 2005 (NO. 04-3267)</t>
  </si>
  <si>
    <t xml:space="preserve">Lin v. Gonzales, </t>
  </si>
  <si>
    <t>133 Fed.Appx. 840, 2005 WL 1367805, C.A.3, June 09, 2005 (NO. 04-1519)</t>
  </si>
  <si>
    <t xml:space="preserve">Yang v. Attorney Gen. of U.S., </t>
  </si>
  <si>
    <t>133 Fed.Appx. 830, 2005 WL 1349529, C.A.3, June 08, 2005 (NO. 04-4361)</t>
  </si>
  <si>
    <t xml:space="preserve">Edwards v. Wyatt, </t>
  </si>
  <si>
    <t>Slip Copy, 2005 WL 1349531, C.A.3 (Pa.), June 08, 2005 (NO. 04-3325)</t>
  </si>
  <si>
    <t xml:space="preserve">Richardson v. Barnhart, </t>
  </si>
  <si>
    <t>136 Fed.Appx. 463, 2005 WL 1349851, 107 Soc.Sec.Rep.Serv. 214, C.A.3 (Del.), June 08, 2005 (NO. 04-3548)</t>
  </si>
  <si>
    <t xml:space="preserve">Owens-El v. City of Pittsburgh, </t>
  </si>
  <si>
    <t>Slip Copy, 2005 WL 1349878, C.A.3 (Pa.), June 08, 2005 (NO. 04-1344)</t>
  </si>
  <si>
    <t xml:space="preserve">Ruiz v. Gonzales, </t>
  </si>
  <si>
    <t>132 Fed.Appx. 983, 2005 WL 1332610, C.A.3, June 07, 2005 (NO. 04-2151)</t>
  </si>
  <si>
    <t xml:space="preserve">Gunawan v. Gonzales, </t>
  </si>
  <si>
    <t>132 Fed.Appx. 997, 2005 WL 1334413, C.A.3, June 07, 2005 (NO. 04-3092, 04-3091)</t>
  </si>
  <si>
    <t xml:space="preserve">Nationwide Mut. Fire Ins. Co. v. Quinn, </t>
  </si>
  <si>
    <t>138 Fed.Appx. 399, 2005 WL 1334451, C.A.3 (Pa.), June 07, 2005 (NO. 04-2320)</t>
  </si>
  <si>
    <t xml:space="preserve">U.S. v. De La Cruz, </t>
  </si>
  <si>
    <t>132 Fed.Appx. 975, 2005 WL 1324581, C.A.3 (Pa.), June 06, 2005 (NO. 04-2780)</t>
  </si>
  <si>
    <t>132 Fed.Appx. 976, 2005 WL 1324582, C.A.3 (Pa.), June 06, 2005 (NO. 04-1998)</t>
  </si>
  <si>
    <t xml:space="preserve">U.S. v. Santana, </t>
  </si>
  <si>
    <t>135 Fed.Appx. 521, 2005 WL 1324583, C.A.3 (Pa.), June 06, 2005 (NO. 04-2857)</t>
  </si>
  <si>
    <t xml:space="preserve">U.S. v. Wilder, </t>
  </si>
  <si>
    <t>134 Fed.Appx. 527, 2005 WL 1324584, C.A.3 (Pa.), June 06, 2005 (NO. 04-2746)</t>
  </si>
  <si>
    <t xml:space="preserve">Dontas v. Holt, </t>
  </si>
  <si>
    <t>132 Fed.Appx. 980, 2005 WL 1332606, C.A.3 (Pa.), June 06, 2005 (NO. 05-1211)</t>
  </si>
  <si>
    <t xml:space="preserve">Ulbin v. Director, Office of Workers' Compensation Programs, U.S. Dept. of Labor, </t>
  </si>
  <si>
    <t>132 Fed.Appx. 968, 2005 WL 1316947, C.A.3, June 03, 2005 (NO. 04-3497)</t>
  </si>
  <si>
    <t xml:space="preserve">Stokes v. Vaughn, </t>
  </si>
  <si>
    <t>132 Fed.Appx. 971, 2005 WL 1323976, C.A.3 (Pa.), June 03, 2005 (NO. 03-4822)</t>
  </si>
  <si>
    <t xml:space="preserve">Beddini v. Dilts, </t>
  </si>
  <si>
    <t>132 Fed.Appx. 974, 2005 WL 1323989, C.A.3 (N.J.), June 03, 2005 (NO. 04-4151)</t>
  </si>
  <si>
    <t xml:space="preserve">Metromedia Energy, Inc. v. Enserch Energy Services, Inc., </t>
  </si>
  <si>
    <t>409 F.3d 574, 2005 WL 1300769, C.A.3 (N.J.), June 02, 2005 (NO. 04-1944)</t>
  </si>
  <si>
    <t xml:space="preserve">U.S. v. Leonor, </t>
  </si>
  <si>
    <t>132 Fed.Appx. 966, 2005 WL 1316946, C.A.3 (N.J.), June 02, 2005 (NO. 03-2844)</t>
  </si>
  <si>
    <t xml:space="preserve">Perry v. Commissioner of Social Sec., </t>
  </si>
  <si>
    <t>136 Fed.Appx. 461, 2005 WL 1274629, C.A.3 (N.J.), May 31, 2005 (NO. 04-3578)</t>
  </si>
  <si>
    <t>134 Fed.Appx. 510, 2005 WL 1249225, C.A.3 (N.J.), May 26, 2005 (NO. 03-3498)</t>
  </si>
  <si>
    <t xml:space="preserve">U.S. v. Gallashaw, </t>
  </si>
  <si>
    <t>133 Fed.Appx. 28, 2005 WL 1231960, C.A.3 (Pa.), May 25, 2005 (NO. 03--2287)</t>
  </si>
  <si>
    <t xml:space="preserve">U.S. v. Barbour, </t>
  </si>
  <si>
    <t>132 Fed.Appx. 409, 2005 WL 1231961, C.A.3, May 25, 2005 (NO. 01-3523)</t>
  </si>
  <si>
    <t xml:space="preserve">Keller v. Fortis Benefits Ins. Co., </t>
  </si>
  <si>
    <t>131 Fed.Appx. 874, 2005 WL 1220839, 35 Employee Benefits Cas. 1867, C.A.3 (Pa.), May 24, 2005 (NO. 03-4214)</t>
  </si>
  <si>
    <t xml:space="preserve">Henry v. Department of Corrections, </t>
  </si>
  <si>
    <t>131 Fed.Appx. 847, 2005 WL 1176498, C.A.3 (Pa.), May 19, 2005 (NO. 03-2895)</t>
  </si>
  <si>
    <t xml:space="preserve">E.E.O.C. v. Muhlenberg College, </t>
  </si>
  <si>
    <t>131 Fed.Appx. 807, 2005 WL 1154075, 198 Ed. Law Rep. 497, C.A.3 (Pa.), May 17, 2005 (NO. 04-2788)</t>
  </si>
  <si>
    <t xml:space="preserve">U.S. v. Fishman, </t>
  </si>
  <si>
    <t>131 Fed.Appx. 397, 2005 WL 1155924, C.A.3 (N.J.), May 17, 2005 (NO. 03-3737)</t>
  </si>
  <si>
    <t>131 Fed.Appx. 819, 2005 WL 1155925, C.A.3 (N.J.), May 17, 2005 (NO. 03-3032)</t>
  </si>
  <si>
    <t xml:space="preserve">Shi Fei v. Attorney General of U.S., </t>
  </si>
  <si>
    <t>131 Fed.Appx. 390, 2005 WL 1140732, C.A.3, May 16, 2005 (NO. 04-3407)</t>
  </si>
  <si>
    <t xml:space="preserve">Construction Drilling, Inc. v. Chusid, </t>
  </si>
  <si>
    <t>131 Fed.Appx. 366, 2005 WL 1111760, C.A.3 (N.J.), May 11, 2005 (NO. 03-3786)</t>
  </si>
  <si>
    <t xml:space="preserve">Rucci v. Cranberry Tp., Pa., </t>
  </si>
  <si>
    <t>130 Fed.Appx. 572, 2005 WL 1111764, C.A.3 (Pa.), May 11, 2005 (NO. 04-2440)</t>
  </si>
  <si>
    <t>128 Fed.Appx. 295, 2005 WL 1111794, C.A.3 (N.J.), May 11, 2005 (NO. 04-1174)</t>
  </si>
  <si>
    <t xml:space="preserve">U.S. v. Byock, </t>
  </si>
  <si>
    <t>130 Fed.Appx. 594, 2005 WL 1113943, 95 A.F.T.R.2d 2005-2372, 2005-1 USTC P 50,351, C.A.3 (N.J.), May 11, 2005 (NO. 04-2726)</t>
  </si>
  <si>
    <t xml:space="preserve">Holston v. Subers, </t>
  </si>
  <si>
    <t>130 Fed.Appx. 533, 2005 WL 1093342, C.A.3 (Pa.), May 10, 2005 (NO. 04-4275)</t>
  </si>
  <si>
    <t xml:space="preserve">Johnson v. Knorr, </t>
  </si>
  <si>
    <t>130 Fed.Appx. 552, 2005 WL 1099515, C.A.3 (Pa.), May 10, 2005 (NO. 04-2870)</t>
  </si>
  <si>
    <t xml:space="preserve">U.S. v. Ginesi, </t>
  </si>
  <si>
    <t>127 Fed.Appx. 636, 2005 WL 1099574, 95 A.F.T.R.2d 2005-2291, C.A.3 (N.J.), May 10, 2005 (NO. 04-1577)</t>
  </si>
  <si>
    <t xml:space="preserve">Gordon v. Morton, </t>
  </si>
  <si>
    <t>131 Fed.Appx. 797, 2005 WL 1099761, C.A.3 (Pa.), May 10, 2005 (NO. 04-4754)</t>
  </si>
  <si>
    <t xml:space="preserve">Cambria County Children and Youth Services v. Lucas, </t>
  </si>
  <si>
    <t>137 Fed.Appx. 448, 2005 WL 1076185, C.A.3 (Pa.), May 09, 2005 (NO. 04-4403)</t>
  </si>
  <si>
    <t xml:space="preserve">Garland v. Horton, </t>
  </si>
  <si>
    <t>129 Fed.Appx. 733, 2005 WL 1050786, C.A.3 (Pa.), May 05, 2005 (NO. 04-3272)</t>
  </si>
  <si>
    <t xml:space="preserve">Jetter v. Beard, </t>
  </si>
  <si>
    <t>130 Fed.Appx. 523, 2005 WL 1051180, C.A.3 (Pa.), May 05, 2005 (NO. 04-1976)</t>
  </si>
  <si>
    <t xml:space="preserve">Bastista v. U.S. Dept. of Justice, </t>
  </si>
  <si>
    <t>129 Fed.Appx. 724, 2005 WL 1030464, C.A.3 (Pa.), May 04, 2005 (NO. 04-4305)</t>
  </si>
  <si>
    <t xml:space="preserve">U.S. v. McCarty, </t>
  </si>
  <si>
    <t>127 Fed.Appx. 82, 2005 WL 1009794, C.A.3 (N.J.), May 02, 2005 (NO. 04-1665)</t>
  </si>
  <si>
    <t xml:space="preserve">Goldstein v. Associates in Gastroenterology of Pittsburgh Amended and Restated Pension Plan, </t>
  </si>
  <si>
    <t>137 Fed.Appx. 441, 2005 WL 995515, 34 Employee Benefits Cas. 2554, Pens. Plan Guide (CCH) P 23,992M, C.A.3 (Pa.), April 29, 2005 (NO. 04-2252)</t>
  </si>
  <si>
    <t>407 F.3d 162, 2005 WL 976941, C.A.3, April 28, 2005 (NO. 02-4521, 03-1130, 03-1160)</t>
  </si>
  <si>
    <t>131 Fed.Appx. 350, 2005 WL 957330, C.A.3 (Pa.), April 27, 2005 (NO. 04-2212)</t>
  </si>
  <si>
    <t xml:space="preserve">Zhang v. Attorney Gen. of U.S., </t>
  </si>
  <si>
    <t>128 Fed.Appx. 287, 2005 WL 957339, C.A.3, April 27, 2005 (NO. 04-3806)</t>
  </si>
  <si>
    <t xml:space="preserve">Dodaj v. Attorney Gen. of U.S., </t>
  </si>
  <si>
    <t>128 Fed.Appx. 289, 2005 WL 974726, C.A.3, April 27, 2005 (NO. 03-4628)</t>
  </si>
  <si>
    <t xml:space="preserve">U.S. v. Vitiello, </t>
  </si>
  <si>
    <t>126 Fed.Appx. 580, 2005 WL 953831, C.A.3 (N.J.), April 26, 2005 (NO. 03-4842)</t>
  </si>
  <si>
    <t xml:space="preserve">Brown v. Daniels, </t>
  </si>
  <si>
    <t>128 Fed.Appx. 910, 2005 WL 943525, C.A.3 (Pa.), April 25, 2005 (NO. 04-3664)</t>
  </si>
  <si>
    <t xml:space="preserve">L.L. v. Vineland Bd. of Educ., </t>
  </si>
  <si>
    <t>128 Fed.Appx. 916, 2005 WL 943527, 198 Ed. Law Rep. 78, C.A.3 (N.J.), April 25, 2005 (NO. 04-2022)</t>
  </si>
  <si>
    <t xml:space="preserve">Parsons Energy &amp; Chemicals Group, Inc. v. Williams Union Boiler, a Div. of Williams Power Corp., </t>
  </si>
  <si>
    <t>128 Fed.Appx. 920, 2005 WL 943529, C.A.3 (Pa.), April 25, 2005 (NO. 04-2171)</t>
  </si>
  <si>
    <t xml:space="preserve">U.S. v. Cortes Romero, </t>
  </si>
  <si>
    <t>125 Fed.Appx. 455, 2005 WL 914849, C.A.3 (N.J.), April 21, 2005 (NO. 02-1506)</t>
  </si>
  <si>
    <t>125 Fed.Appx. 456, 2005 WL 914851, C.A.3 (N.J.), April 21, 2005 (NO. 03-3068)</t>
  </si>
  <si>
    <t xml:space="preserve">Zhang v. Gonzales, </t>
  </si>
  <si>
    <t>405 F.3d 150, 2005 WL 924249, C.A.3, April 21, 2005 (NO. 03-2111)</t>
  </si>
  <si>
    <t xml:space="preserve">Setiawan v. Gonzales, </t>
  </si>
  <si>
    <t>128 Fed.Appx. 873, 2005 WL 899923, C.A.3, April 19, 2005 (NO. 04-1051)</t>
  </si>
  <si>
    <t xml:space="preserve">U.S. v. Childs, </t>
  </si>
  <si>
    <t>131 Fed.Appx. 347, 2005 WL 899924, C.A.3 (Pa.), April 19, 2005 (NO. 03-3359)</t>
  </si>
  <si>
    <t xml:space="preserve">C.M. v. Board of Educ. of Union County Regional High School Dist., </t>
  </si>
  <si>
    <t>128 Fed.Appx. 876, 2005 WL 899927, 198 Ed. Law Rep. 58, C.A.3 (N.J.), April 19, 2005 (NO. 04-1407)</t>
  </si>
  <si>
    <t xml:space="preserve">Henry v. Apker, </t>
  </si>
  <si>
    <t>128 Fed.Appx. 895, 2005 WL 899964, C.A.3 (Pa.), April 19, 2005 (NO. 04-3740)</t>
  </si>
  <si>
    <t xml:space="preserve">U.S. v. Ramirez-Elias, </t>
  </si>
  <si>
    <t>126 Fed.Appx. 83, 2005 WL 900212, C.A.3 (Pa.), April 18, 2005 (NO. 03-3724, 03-3725)</t>
  </si>
  <si>
    <t xml:space="preserve">Wimberly v. Barnhart, </t>
  </si>
  <si>
    <t>128 Fed.Appx. 861, 2005 WL 900215, 104 Soc.Sec.Rep.Serv. 372, C.A.3 (Pa.), April 18, 2005 (NO. 04-2509)</t>
  </si>
  <si>
    <t xml:space="preserve">Dubrosky v. Colonial Life &amp; Acc. Ins. Co., </t>
  </si>
  <si>
    <t>129 Fed.Appx. 691, 2005 WL 900233, C.A.3 (Pa.), April 18, 2005 (NO. 04-1994)</t>
  </si>
  <si>
    <t xml:space="preserve">Awaadeh v. Gonzales, </t>
  </si>
  <si>
    <t>126 Fed.Appx. 577, 2005 WL 900236, C.A.3, April 18, 2005 (NO. 04-1973)</t>
  </si>
  <si>
    <t xml:space="preserve">Kaci v. Gonzales, </t>
  </si>
  <si>
    <t>127 Fed.Appx. 631, 2005 WL 859279, C.A.3, April 15, 2005 (NO. 04-1836)</t>
  </si>
  <si>
    <t xml:space="preserve">Baquero v. Gonzales, </t>
  </si>
  <si>
    <t>127 Fed.Appx. 634, 2005 WL 859281, C.A.3, April 15, 2005 (NO. 03-4861)</t>
  </si>
  <si>
    <t xml:space="preserve">U.S. v. Parker, </t>
  </si>
  <si>
    <t>127 Fed.Appx. 614, 2005 WL 851458, C.A.3 (N.J.), April 14, 2005 (NO. 04-1458)</t>
  </si>
  <si>
    <t xml:space="preserve">Bronshtein v. Horn, </t>
  </si>
  <si>
    <t>404 F.3d 700, 2005 WL 852187, C.A.3 (Pa.), April 14, 2005 (NO. 01-9004, 01-9005)</t>
  </si>
  <si>
    <t xml:space="preserve">Wellness Publishing v. Barefoot, </t>
  </si>
  <si>
    <t>128 Fed.Appx. 266, 2005 WL 852685, C.A.3 (N.J.), April 14, 2005 (NO. 03-3919)</t>
  </si>
  <si>
    <t xml:space="preserve">Hui Lin v. Attorney General of U.S., </t>
  </si>
  <si>
    <t>127 Fed.Appx. 617, 2005 WL 852688, C.A.3, April 14, 2005 (NO. 04-2805)</t>
  </si>
  <si>
    <t xml:space="preserve">Allen v. City of York, PA, </t>
  </si>
  <si>
    <t>128 Fed.Appx. 261, 2005 WL 846139, C.A.3 (Pa.), April 13, 2005 (NO. 04-1946)</t>
  </si>
  <si>
    <t xml:space="preserve">D'Angelo v. ADS Machinery Corp., </t>
  </si>
  <si>
    <t>128 Fed.Appx. 253, 2005 WL 834461, C.A.3 (Pa.), April 12, 2005 (NO. 04-1911)</t>
  </si>
  <si>
    <t xml:space="preserve">Jakubowski v. Commissioner Social Sec., </t>
  </si>
  <si>
    <t>131 Fed.Appx. 341, 2005 WL 834649, 104 Soc.Sec.Rep.Serv. 550, C.A.3 (N.J.), April 12, 2005 (NO. 04-3264)</t>
  </si>
  <si>
    <t xml:space="preserve">Santiago v. Commissioner of Social Sec., </t>
  </si>
  <si>
    <t>131 Fed.Appx. 344, 2005 WL 834651, 104 Soc.Sec.Rep.Serv. 553, C.A.3 (N.J.), April 12, 2005 (NO. 04-2546)</t>
  </si>
  <si>
    <t xml:space="preserve">U.S. v. Ayinde, </t>
  </si>
  <si>
    <t>127 Fed.Appx. 587, 2005 WL 775804, C.A.3 (N.J.), April 07, 2005 (NO. 02-2353)</t>
  </si>
  <si>
    <t xml:space="preserve">Breslin v. Brainard, </t>
  </si>
  <si>
    <t>128 Fed.Appx. 237, 2005 WL 775846, RICO Bus.Disp.Guide 10,845, C.A.3 (Pa.), April 07, 2005 (NO. 04-2590)</t>
  </si>
  <si>
    <t xml:space="preserve">U.S. v. Paz, </t>
  </si>
  <si>
    <t>127 Fed.Appx. 78, 2005 WL 775847, C.A.3 (Pa.), April 07, 2005 (NO. 04-1156, 04-1809)</t>
  </si>
  <si>
    <t xml:space="preserve">Buddington ex rel. Singletary v. Commissioner of Social Sec., </t>
  </si>
  <si>
    <t>129 Fed.Appx. 682, 2005 WL 767854, 104 Soc.Sec.Rep.Serv. 375, C.A.3 (N.J.), April 06, 2005 (NO. 04-2544)</t>
  </si>
  <si>
    <t xml:space="preserve">U.S. v. Thomas, </t>
  </si>
  <si>
    <t>127 Fed.Appx. 582, 2005 WL 757929, C.A.3 (N.J.), April 05, 2005 (NO. 04-2208)</t>
  </si>
  <si>
    <t xml:space="preserve">Tisoit v. Barnhart, </t>
  </si>
  <si>
    <t>127 Fed.Appx. 572, 2005 WL 751916, 107 Soc.Sec.Rep.Serv. 235, C.A.3 (Pa.), April 04, 2005 (NO. 04-3097)</t>
  </si>
  <si>
    <t xml:space="preserve">U.S. v. Dugan, </t>
  </si>
  <si>
    <t>127 Fed.Appx. 58, 2005 WL 736661, C.A.3 (Pa.), April 01, 2005 (NO. 04-2103)</t>
  </si>
  <si>
    <t xml:space="preserve">Pranvoku v. Attorney General USA, </t>
  </si>
  <si>
    <t>138 Fed.Appx. 384, 2005 WL 703548, C.A.3, March 29, 2005 (NO. 04-1446)</t>
  </si>
  <si>
    <t>125 Fed.Appx. 451, 2005 WL 703734, C.A.3 (Pa.), March 29, 2005 (NO. 03-4679)</t>
  </si>
  <si>
    <t xml:space="preserve">Graham v. City of Philadelphia, </t>
  </si>
  <si>
    <t>402 F.3d 139, 2005 WL 678552, 150 Lab.Cas. P 59,974, 22 IER Cases 1047, C.A.3 (Pa.), March 25, 2005 (NO. 03-3372)</t>
  </si>
  <si>
    <t xml:space="preserve">Sonecha v. New England Life Ins. Co., </t>
  </si>
  <si>
    <t>124 Fed.Appx. 143, 2005 WL 665102, C.A.3 (Pa.), March 23, 2005 (NO. 04-1448)</t>
  </si>
  <si>
    <t xml:space="preserve">Lowe v. Loud Records, </t>
  </si>
  <si>
    <t>126 Fed.Appx. 545, 2005 WL 665111, 2005 Copr.L.Dec. P 28,968, C.A.3 (Pa.), March 23, 2005 (NO. 03-4812)</t>
  </si>
  <si>
    <t xml:space="preserve">In re Farah, </t>
  </si>
  <si>
    <t>126 Fed.Appx. 66, 2005 WL 647344, C.A.3 (N.J.), March 22, 2005 (NO. 04-1017)</t>
  </si>
  <si>
    <t xml:space="preserve">Trippe Mfg. Co. v. Niles Audio Corp., </t>
  </si>
  <si>
    <t>401 F.3d 529, 2005 WL 627724, C.A.3 (N.J.), March 18, 2005 (NO. 03-4101)</t>
  </si>
  <si>
    <t xml:space="preserve">Miguel v. Commissioner of Social Sec., </t>
  </si>
  <si>
    <t>129 Fed.Appx. 678, 2005 WL 602898, 104 Soc.Sec.Rep.Serv. 387, C.A.3 (N.J.), March 16, 2005 (NO. 04-1014)</t>
  </si>
  <si>
    <t xml:space="preserve">In re Allegheny Health Educ. and Research Foundation, </t>
  </si>
  <si>
    <t>127 Fed.Appx. 27, 2005 WL 565151, 44 Bankr.Ct.Dec. 100, C.A.3 (Pa.), March 11, 2005 (NO. 04-1200)</t>
  </si>
  <si>
    <t xml:space="preserve">U.S. v. Mitchell, </t>
  </si>
  <si>
    <t>124 Fed.Appx. 750, 2005 WL 567813, C.A.3 (N.J.), March 11, 2005 (NO. 03-3862)</t>
  </si>
  <si>
    <t xml:space="preserve">United Federal Leasing, Inc. v. U.S., </t>
  </si>
  <si>
    <t>126 Fed.Appx. 60, 2005 WL 555306, C.A.3 (Pa.), March 10, 2005 (NO. 03-4831)</t>
  </si>
  <si>
    <t xml:space="preserve">U.S. v. Currie, </t>
  </si>
  <si>
    <t>123 Fed.Appx. 95, 2005 WL 564190, C.A.3 (N.J.), March 10, 2005 (NO. 03-2806)</t>
  </si>
  <si>
    <t xml:space="preserve">Voicenet Communications, Inc. v. Pappert, </t>
  </si>
  <si>
    <t>126 Fed.Appx. 55, 2005 WL 546645, C.A.3 (Pa.), March 09, 2005 (NO. 04-2911, 04-3339)</t>
  </si>
  <si>
    <t xml:space="preserve">In re Dickson, </t>
  </si>
  <si>
    <t>126 Fed.Appx. 52, 2005 WL 535391, C.A.3 (Pa.), March 08, 2005 (NO. 03-3709)</t>
  </si>
  <si>
    <t>124 Fed.Appx. 743, 2005 WL 548198, C.A.3 (Pa.), March 08, 2005 (NO. 04-1156, 04-1809)</t>
  </si>
  <si>
    <t xml:space="preserve">Lolita v. Attorney Gen. of U.S., </t>
  </si>
  <si>
    <t>126 Fed.Appx. 50, 2005 WL 524948, C.A.3, March 07, 2005 (NO. 04-1231)</t>
  </si>
  <si>
    <t xml:space="preserve">Midgette v. Wal-Mart Stores, Inc., </t>
  </si>
  <si>
    <t>121 Fed.Appx. 980, 2005 WL 488705, C.A.3 (Pa.), March 03, 2005 (NO. 04-1244)</t>
  </si>
  <si>
    <t xml:space="preserve">In re PHP Healthcare Corp., </t>
  </si>
  <si>
    <t>128 Fed.Appx. 839, 2005 WL 488785, C.A.3 (Del.), March 03, 2005 (NO. 03-3972)</t>
  </si>
  <si>
    <t xml:space="preserve">Arrow Drilling Co. Inc. v. Carpenter, </t>
  </si>
  <si>
    <t>125 Fed.Appx. 423, 2005 WL 496267, C.A.3 (Pa.), March 03, 2005 (NO. 034200, 04-1886, 03-4376, 04-2038)</t>
  </si>
  <si>
    <t xml:space="preserve">Banks v. Beard, </t>
  </si>
  <si>
    <t>399 F.3d 134, 2005 WL 433594, C.A.3 (Pa.), February 25, 2005 (NO. 03-1245)</t>
  </si>
  <si>
    <t xml:space="preserve">American Hardware Mut. Ins. Co. v. Harley Davidson of Trenton, Inc., </t>
  </si>
  <si>
    <t>124 Fed.Appx. 107, 2005 WL 408142, C.A.3 (N.J.), February 22, 2005 (NO. 03-4348, 03-4170, 04-1398)</t>
  </si>
  <si>
    <t xml:space="preserve">Kohl's Department Stores, Inc. v. Levco-Route 46 Associates, L.P., </t>
  </si>
  <si>
    <t>121 Fed.Appx. 971, 2005 WL 387882, C.A.3 (N.J.), January 20, 2005 (NO. 04-1600)</t>
  </si>
  <si>
    <t xml:space="preserve">Bazzone v. Nationwide Mut., </t>
  </si>
  <si>
    <t>123 Fed.Appx. 503, 2005 WL 351250, C.A.3 (Pa.), February 15, 2005 (NO. 03-4659)</t>
  </si>
  <si>
    <t xml:space="preserve">Still v. Regulus Group LLC., </t>
  </si>
  <si>
    <t>123 Fed.Appx. 56, 2005 WL 351294, C.A.3 (Pa.), February 15, 2005 (NO. 04-1196, 04-1292)</t>
  </si>
  <si>
    <t xml:space="preserve">Brinson v. Vaughn, </t>
  </si>
  <si>
    <t>398 F.3d 225, 2005 WL 287450, C.A.3 (Pa.), February 08, 2005 (NO. 02-4479, 02-4466)</t>
  </si>
  <si>
    <t xml:space="preserve">In re Hilley, </t>
  </si>
  <si>
    <t>124 Fed.Appx. 81, 2005 WL 256050, C.A.3 (Pa.), February 03, 2005 (NO. 04-2373)</t>
  </si>
  <si>
    <t xml:space="preserve">Suherman v. Ashcroft, </t>
  </si>
  <si>
    <t>125 Fed.Appx. 393, 2005 WL 256344, C.A.3, February 03, 2005 (NO. 04-1536)</t>
  </si>
  <si>
    <t xml:space="preserve">Carr v. Borough of Elizabeth, </t>
  </si>
  <si>
    <t>121 Fed.Appx. 459, 2005 WL 236560, C.A.3 (Pa.), February 02, 2005 (NO. 03-4613)</t>
  </si>
  <si>
    <t xml:space="preserve">Adam Technologies, Inc. v. Hewlett Packard Co., </t>
  </si>
  <si>
    <t>123 Fed.Appx. 476, 2005 WL 238128, C.A.3 (N.J.), February 02, 2005 (NO. 04-1306)</t>
  </si>
  <si>
    <t xml:space="preserve">Dunsmuir v. May Dept. Stores Co., </t>
  </si>
  <si>
    <t>120 Fed.Appx. 927, 2005 WL 221871, C.A.3 (Pa.), February 01, 2005 (NO. 04-1413)</t>
  </si>
  <si>
    <t xml:space="preserve">Khudyakov v. Ashcroft, </t>
  </si>
  <si>
    <t>120 Fed.Appx. 429, 2005 WL 217045, C.A.3, January 31, 2005 (NO. 04-1447)</t>
  </si>
  <si>
    <t xml:space="preserve">Newell v. Commissioner of Social Security, </t>
  </si>
  <si>
    <t>121 Fed.Appx. 937, 2005 WL 152432, 101 Soc.Sec.Rep.Serv. 701, C.A.3 (N.J.), January 25, 2005 (NO. 04-1455)</t>
  </si>
  <si>
    <t xml:space="preserve">Auguste v. Ridge, </t>
  </si>
  <si>
    <t>395 F.3d 123, 2005 WL 107036, C.A.3 (N.J.), January 20, 2005 (NO. 04-1739)</t>
  </si>
  <si>
    <t xml:space="preserve">U.S. v. Nesgoda, </t>
  </si>
  <si>
    <t>143 Fed.Appx. 427, 2005 WL 1787305, C.A.3 (Pa.), January 19, 2005 (NO. 04-2277)</t>
  </si>
  <si>
    <t xml:space="preserve">Sylvester v. City of Newark, </t>
  </si>
  <si>
    <t>120 Fed.Appx. 419, 2005 WL 78803, C.A.3 (N.J.), January 14, 2005 (NO. 03-4872)</t>
  </si>
  <si>
    <t xml:space="preserve">Policastro v. Kontogiannis, </t>
  </si>
  <si>
    <t>Not Reported in F.3d, 2005 WL 1005131, C.A.3 (N.J.), January 12, 2005 (NO. 04-2883)</t>
  </si>
  <si>
    <t xml:space="preserve">Carroll v. Rochford, </t>
  </si>
  <si>
    <t>123 Fed.Appx. 456, 2005 WL 30311, C.A.3 (N.J.), January 07, 2005 (NO. 03-4871)</t>
  </si>
  <si>
    <t xml:space="preserve">U.S. v. Moya, </t>
  </si>
  <si>
    <t>118 Fed.Appx. 666, 2005 WL 14936, C.A.3 (N.J.), January 03, 2005 (NO. 04-1537)</t>
  </si>
  <si>
    <t xml:space="preserve">Johnson v. Pinchak, </t>
  </si>
  <si>
    <t>392 F.3d 551, 2004 WL 2952813, C.A.3 (N.J.), December 22, 2004 (NO. 04-1307)</t>
  </si>
  <si>
    <t xml:space="preserve">Elkins v. Comfort, </t>
  </si>
  <si>
    <t>392 F.3d 1159, 2004 WL 2931355, C.A.10 (Colo.), December 20, 2004 (NO. 03-1184)</t>
  </si>
  <si>
    <t xml:space="preserve">Fliegler v. Commissioner of Social Security, </t>
  </si>
  <si>
    <t>117 Fed.Appx. 213, 2004 WL 2904726, C.A.3 (N.J.), December 16, 2004 (NO. 04-1305)</t>
  </si>
  <si>
    <t xml:space="preserve">Yang v. Odom, </t>
  </si>
  <si>
    <t>392 F.3d 97, 2004 WL 2902517, 85 Empl. Prac. Dec. P 41,907, Fed. Sec. L. Rep. P 93,048, C.A.3 (N.J.), December 15, 2004 (NO. 03-2951)</t>
  </si>
  <si>
    <t xml:space="preserve">Barber v. University of Medicine and Dentistry of New Jersey, </t>
  </si>
  <si>
    <t>118 Fed.Appx. 588, 2004 WL 2904723, C.A.3 (N.J.), December 15, 2004 (NO. 04-2033)</t>
  </si>
  <si>
    <t xml:space="preserve">Howard Johnson Int'l. v. Cupola Enterprises, LLC, </t>
  </si>
  <si>
    <t>117 Fed.Appx. 820, 2004 WL 2904742, C.A.3 (N.J.), December 15, 2004 (NO. 03-4458)</t>
  </si>
  <si>
    <t xml:space="preserve">Renart v. Chartwells, </t>
  </si>
  <si>
    <t>122 Fed.Appx. 559, 2004 WL 2850108, C.A.3 (N.J.), December 13, 2004 (NO. 03-4381)</t>
  </si>
  <si>
    <t xml:space="preserve">Terminello v. City of Passaic, </t>
  </si>
  <si>
    <t>118 Fed.Appx. 577, 2004 WL 2850114, C.A.3 (N.J.), December 13, 2004 (NO. 03-4832)</t>
  </si>
  <si>
    <t>ico</t>
  </si>
  <si>
    <t xml:space="preserve">La v. Hayducka, </t>
  </si>
  <si>
    <t>122 Fed.Appx. 557, 2004 WL 2797298, C.A.3 (N.J.), December 07, 2004 (NO. 03-4374)</t>
  </si>
  <si>
    <t xml:space="preserve">In re GI Holdings, Inc., </t>
  </si>
  <si>
    <t>122 Fed.Appx. 554, 2004 WL 2786312, C.A.3 (N.J.), December 06, 2004 (NO. 04-1546)</t>
  </si>
  <si>
    <t xml:space="preserve">U.S. v. Landry, </t>
  </si>
  <si>
    <t>116 Fed.Appx. 403, 2004 WL 2786317, C.A.3 (N.J.), December 06, 2004 (NO. 04-1187)</t>
  </si>
  <si>
    <t>390 F.3d 276, 2004 WL 2755846, 2004 Copr.L.Dec. P 28,909, 73 U.S.P.Q.2d 1071, C.A.3 (Pa.), December 03, 2004 (NO. 02-1243)</t>
  </si>
  <si>
    <t xml:space="preserve">Hollis v. Commissioner of Social Security, </t>
  </si>
  <si>
    <t>116 Fed.Appx. 396, 2004 WL 2756818, 102 Soc.Sec.Rep.Serv. 13, C.A.3 (N.J.), December 03, 2004 (NO. 04-1868)</t>
  </si>
  <si>
    <t xml:space="preserve">Lamanna v. Commissioner of Social Security, </t>
  </si>
  <si>
    <t>116 Fed.Appx. 354, 2004 WL 2677152, 102 Soc.Sec.Rep.Serv. 40, C.A.3 (N.J.), November 24, 2004 (NO. 04-2483)</t>
  </si>
  <si>
    <t xml:space="preserve">Pascack Valley Hosp. v. Local 464A UFCW Welfare Reimbursement Plan, </t>
  </si>
  <si>
    <t>388 F.3d 393, 2004 WL 2423550, 33 Employee Benefits Cas. 2575, 65 Fed. R. Evid. Serv. 859, C.A.3 (N.J.), November 01, 2004 (NO. 03-4196)</t>
  </si>
  <si>
    <t xml:space="preserve">International Ass'n of Machinists and Aerospace Workers, Local Lodge 964 v. BF Goodrich Aerospace Aerostructures Group, </t>
  </si>
  <si>
    <t>387 F.3d 1046, 2004 WL 2423738, 175 L.R.R.M. (BNA) 3185, 150 Lab.Cas. P 10,405, 34 Employee Benefits Cas. 2397, 04 Cal. Daily Op. Serv. 9755, 2004 Daily Journal D.A.R. 13,370, C.A.9 (Cal.), November 01, 2004 (NO. 03-55085)</t>
  </si>
  <si>
    <t xml:space="preserve">Child Evangelism Fellowship of New Jersey Inc. v. Stafford Tp. School Dist., </t>
  </si>
  <si>
    <t>386 F.3d 514, 2004 WL 2326467, 192 Ed. Law Rep. 670, C.A.3 (N.J.), October 15, 2004 (NO. 03-1101)</t>
  </si>
  <si>
    <t xml:space="preserve">Lambert v. Blackwell, </t>
  </si>
  <si>
    <t>387 F.3d 210, 2004 WL 2283277, C.A.3 (Pa.), October 12, 2004 (NO. 03-2383, 03-2282)</t>
  </si>
  <si>
    <t xml:space="preserve">Fiscus v. Wal-Mart Stores, Inc., </t>
  </si>
  <si>
    <t>385 F.3d 378, 2004 WL 2219323, 16 A.D. Cases 10, 29 NDLR P 11, C.A.3 (Pa.), October 05, 2004 (NO. 03-2513)</t>
  </si>
  <si>
    <t xml:space="preserve">Safko v. Director Office Workers' Compensation Program, </t>
  </si>
  <si>
    <t>109 Fed.Appx. 507, 2004 WL 2241249, C.A.3, October 05, 2004 (NO. 03-4314)</t>
  </si>
  <si>
    <t xml:space="preserve">Baker v. Horn, </t>
  </si>
  <si>
    <t>383 F.Supp.2d 720, 2005 WL 1949631, E.D.Pa., August 15, 2005 (NO. CIV.A. 96-0037)</t>
  </si>
  <si>
    <t xml:space="preserve">Sokolove v. City of Rehoboth Beach, DE, </t>
  </si>
  <si>
    <t>Not Reported in F.Supp.2d, 2005 WL 1800007, D.Del., July 28, 2005 (NO. CIV.A.05-514-KAJ)</t>
  </si>
  <si>
    <t xml:space="preserve">U.S. v. Dwyer, </t>
  </si>
  <si>
    <t>Not Reported in F.Supp.2d, 2005 WL 1364839, D.N.J., June 09, 2005 (NO. CRIM. 03-155 (JBS))</t>
  </si>
  <si>
    <t xml:space="preserve">Guang Dong Light Headgear Factory Co., Ltd. v. ACI Intern., Inc., </t>
  </si>
  <si>
    <t>Not Reported in F.Supp.2d, 2005 WL 1118130, D.Kan., May 10, 2005 (NO. 03-4165-JAR)</t>
  </si>
  <si>
    <t xml:space="preserve">Westside Mothers v. Olszewski, </t>
  </si>
  <si>
    <t>368 F.Supp.2d 740, 2005 WL 1027987, Med &amp; Med GD (CCH) P 301,637, E.D.Mich., April 22, 2005 (NO. 99-CV-73442-DT)</t>
  </si>
  <si>
    <t xml:space="preserve">Armstrong v. Burdette Tomlin Memorial Hosp., </t>
  </si>
  <si>
    <t>438 F.3d 240, 2006 WL 213850, 97 Fair Empl.Prac.Cas. (BNA) 572, 17 A.D. Cases 867, 31 NDLR P 237, C.A.3 (N.J.), January 30, 2006 (NO. 03-3553)</t>
  </si>
  <si>
    <t xml:space="preserve">Ranke v. Sanofi-Synthelabo Inc., </t>
  </si>
  <si>
    <t>436 F.3d 197, 2006 WL 197145, 36 Employee Benefits Cas. 2387, Pens. Plan Guide (CCH) P 23994O, C.A.3 (Pa.), January 27, 2006 (NO. 04-4514)</t>
  </si>
  <si>
    <t xml:space="preserve">Canal Ins. Co. v. Underwriters at Lloyd's London, </t>
  </si>
  <si>
    <t>435 F.3d 431, 2006 WL 197148, C.A.3 (Pa.), January 27, 2006 (NO. 04-3714)</t>
  </si>
  <si>
    <t xml:space="preserve">In re Smith, </t>
  </si>
  <si>
    <t>165 Fed.Appx. 961, 2006 WL 212121, C.A.3 (N.J.), January 27, 2006 (NO. 02-4356)</t>
  </si>
  <si>
    <t xml:space="preserve">Martirosov v. Gonzales, </t>
  </si>
  <si>
    <t>164 Fed.Appx. 232, 2006 WL 176101, C.A.3, January 25, 2006 (NO. 04-2092)</t>
  </si>
  <si>
    <t xml:space="preserve">Acands, Inc. v. Travelers Cas. and Sur. Co., </t>
  </si>
  <si>
    <t>435 F.3d 252, 2006 WL 133546, 45 Bankr.Ct.Dec. 243, Bankr. L. Rep. P 80,447, C.A.3 (Pa.), January 19, 2006 (NO. 04-3926, 04-3929)</t>
  </si>
  <si>
    <t xml:space="preserve">Ilchuk v. Attorney General of U.S., </t>
  </si>
  <si>
    <t>434 F.3d 618, 2006 WL 90124, C.A.3, January 17, 2006 (NO. 04-3094)</t>
  </si>
  <si>
    <t xml:space="preserve">Satterfield v. Johnson, </t>
  </si>
  <si>
    <t>434 F.3d 185, 2006 WL 90338, C.A.3 (Pa.), January 17, 2006 (NO. 04-3108)</t>
  </si>
  <si>
    <t xml:space="preserve">U.S. v. Hedgepeth, </t>
  </si>
  <si>
    <t>434 F.3d 609, 2006 WL 60665, C.A.3 (Pa.), January 12, 2006 (NO. 04-4564)</t>
  </si>
  <si>
    <t xml:space="preserve">In re SubMicron Systems Corp., </t>
  </si>
  <si>
    <t>432 F.3d 448, 2006 WL 27476, 55 Collier Bankr.Cas.2d 1077, 45 Bankr.Ct.Dec. 232, Bankr. L. Rep. P 80,436, C.A.3 (Del.), January 06, 2006 (NO. 03-2102)</t>
  </si>
  <si>
    <t xml:space="preserve">U.S. v. E.I. Dupont De Nemours and Co. Inc., </t>
  </si>
  <si>
    <t>432 F.3d 161, 2005 WL 3489474, 61 ERC 1673, 35 Envtl. L. Rep. 20,258, C.A.3 (Del.), December 22, 2005 (NO. 04-4546)</t>
  </si>
  <si>
    <t xml:space="preserve">Danvers Motor Co., Inc. v. Ford Motor Co., </t>
  </si>
  <si>
    <t>432 F.3d 286, 2005 WL 3454739, C.A.3 (N.J.), December 19, 2005 (NO. 04-3950)</t>
  </si>
  <si>
    <t xml:space="preserve">Coles v. Folino, </t>
  </si>
  <si>
    <t>162 Fed.Appx. 100, 2005 WL 3462863, C.A.3 (Pa.), December 19, 2005 (NO. 04-2669)</t>
  </si>
  <si>
    <t xml:space="preserve">Martiri v. Attorney General of U.S., </t>
  </si>
  <si>
    <t>159 Fed.Appx. 393, 2005 WL 3449071, C.A.3, December 16, 2005 (NO. 04-2792)</t>
  </si>
  <si>
    <t xml:space="preserve">In re Merck &amp; Co., Inc. Securities Litigation, </t>
  </si>
  <si>
    <t>432 F.3d 261, 2005 WL 3436619, Fed. Sec. L. Rep. P 93,606, C.A.3 (N.J.), December 15, 2005 (NO. 04-3298)</t>
  </si>
  <si>
    <t xml:space="preserve">Fagin v. Gilmartin, </t>
  </si>
  <si>
    <t>432 F.3d 276, 2005 WL 3436666, C.A.3 (N.J.), December 15, 2005 (NO. 04-3735)</t>
  </si>
  <si>
    <t xml:space="preserve">Lynn v. Desiderio, </t>
  </si>
  <si>
    <t>159 Fed.Appx. 382, 2005 WL 3439915, C.A.3 (Pa.), December 15, 2005 (NO. 04-4070)</t>
  </si>
  <si>
    <t xml:space="preserve">Lin v. Attorney Gen. of U.S., </t>
  </si>
  <si>
    <t>159 Fed.Appx. 332, 2005 WL 3312798, C.A.3, December 08, 2005 (NO. 04-3598)</t>
  </si>
  <si>
    <t xml:space="preserve">Mattis v. Patrick, </t>
  </si>
  <si>
    <t>156 Fed.Appx. 496, 2005 WL 3292550, C.A.3 (Pa.), December 06, 2005 (NO. 05-2267)</t>
  </si>
  <si>
    <t xml:space="preserve">Ford v. Wolfe, </t>
  </si>
  <si>
    <t>156 Fed.Appx. 499, 2005 WL 3292556, C.A.3 (Pa.), December 06, 2005 (NO. 05-2136)</t>
  </si>
  <si>
    <t xml:space="preserve">C.N. v. Ridgewood Bd. of Educ., </t>
  </si>
  <si>
    <t>430 F.3d 159, 2005 WL 3211647, 203 Ed. Law Rep. 468, C.A.3 (N.J.), December 01, 2005 (NO. 04-2849)</t>
  </si>
  <si>
    <t xml:space="preserve">In re Milton, </t>
  </si>
  <si>
    <t>155 Fed.Appx. 614, 2005 WL 3149589, C.A.3 (Pa.), November 28, 2005 (NO. 03-2713)</t>
  </si>
  <si>
    <t xml:space="preserve">Hoffenberg v. Provost, </t>
  </si>
  <si>
    <t>154 Fed.Appx. 307, 2005 WL 3046524, C.A.3 (Pa.), November 15, 2005 (NO. 05-2354)</t>
  </si>
  <si>
    <t xml:space="preserve">Olavides v. Atty. Gen. of U.S., </t>
  </si>
  <si>
    <t>153 Fed.Appx. 876, 2005 WL 3006817, C.A.3, November 10, 2005 (NO. 04-3861)</t>
  </si>
  <si>
    <t xml:space="preserve">Harmon v. Delaware Secretary of State, </t>
  </si>
  <si>
    <t>154 Fed.Appx. 283, 2005 WL 2982216, C.A.3 (Del.), November 08, 2005 (NO. 04-2801)</t>
  </si>
  <si>
    <t>152 Fed.Appx. 239, 2005 WL 2840063, C.A.3, October 31, 2005 (NO. 04-2105)</t>
  </si>
  <si>
    <t xml:space="preserve">Kuswadi v. Attorney General of U.S., </t>
  </si>
  <si>
    <t>153 Fed.Appx. 116, 2005 WL 2847165, C.A.3, October 31, 2005 (NO. 04-3644)</t>
  </si>
  <si>
    <t xml:space="preserve">Wilderman v. Cooper &amp; Scully, P.C., </t>
  </si>
  <si>
    <t>428 F.3d 474, 2005 WL 2807376, C.A.3 (Pa.), October 28, 2005 (NO. 04-1876)</t>
  </si>
  <si>
    <t xml:space="preserve">Reiser v. New Jersey Air Nat. Guard, </t>
  </si>
  <si>
    <t>152 Fed.Appx. 235, 2005 WL 2812806, C.A.3 (N.J.), October 28, 2005 (NO. 04-3959)</t>
  </si>
  <si>
    <t xml:space="preserve">Chen v. Attorney General of U.S., </t>
  </si>
  <si>
    <t>153 Fed.Appx. 98, 2005 WL 2812807, C.A.3, October 28, 2005 (NO. 05-1999)</t>
  </si>
  <si>
    <t xml:space="preserve">Mahmood v. Gonzales, </t>
  </si>
  <si>
    <t>427 F.3d 248, 2005 WL 2785204, C.A.3, October 27, 2005 (NO. 03-3760)</t>
  </si>
  <si>
    <t xml:space="preserve">Terrell v. Hawk, </t>
  </si>
  <si>
    <t>154 Fed.Appx. 280, 2005 WL 2760833, C.A.3 (Pa.), October 26, 2005 (NO. 05-2642)</t>
  </si>
  <si>
    <t xml:space="preserve">Roadmaster (USA) Corp. v. Calmodal Freight Systems, Inc., </t>
  </si>
  <si>
    <t>153 Fed.Appx. 827, 2005 WL 2761287, C.A.3 (N.J.), October 26, 2005 (NO. 04-3970, 04-3995)</t>
  </si>
  <si>
    <t xml:space="preserve">Zappan v. Pennsylvania Board of Probation and Parole, </t>
  </si>
  <si>
    <t>152 Fed.Appx. 211, 2005 WL 2761594, C.A.3 (Pa.), October 26, 2005 (NO. 04-3866)</t>
  </si>
  <si>
    <t xml:space="preserve">Thomas v. Williamson, </t>
  </si>
  <si>
    <t>152 Fed.Appx. 199, 2005 WL 2739907, C.A.3 (Pa.), October 25, 2005 (NO. 05-2420)</t>
  </si>
  <si>
    <t xml:space="preserve">Hassan v. Gonzales, </t>
  </si>
  <si>
    <t>152 Fed.Appx. 177, 2005 WL 2705797, C.A.3, October 21, 2005 (NO. 04-3738)</t>
  </si>
  <si>
    <t xml:space="preserve">Van Williams v. Social Sec. Admin., </t>
  </si>
  <si>
    <t>152 Fed.Appx. 153, 2005 WL 2673487, C.A.3 (Pa.), October 20, 2005 (NO. 04-4288)</t>
  </si>
  <si>
    <t xml:space="preserve">In re Nazi Era Cases Against German Defendants Litigation, </t>
  </si>
  <si>
    <t>153 Fed.Appx. 819, 2005 WL 2673498, C.A.3 (N.J.), October 20, 2005 (NO. 04-2848)</t>
  </si>
  <si>
    <t xml:space="preserve">Chhibba v. Federal Bureau of Prisons, </t>
  </si>
  <si>
    <t>154 Fed.Appx. 279, 2005 WL 2662337, C.A.3 (N.J.), October 19, 2005 (NO. 04-4728)</t>
  </si>
  <si>
    <t xml:space="preserve">U.S. v. Cummings, </t>
  </si>
  <si>
    <t>156 Fed.Appx. 438, 2005 WL 2662356, C.A.3 (N.J.), October 19, 2005 (NO. 04-3899)</t>
  </si>
  <si>
    <t xml:space="preserve">Giangrante v. Varallo, </t>
  </si>
  <si>
    <t>153 Fed.Appx. 814, 2005 WL 2662368, C.A.3 (Pa.), October 19, 2005 (NO. 04-4467)</t>
  </si>
  <si>
    <t xml:space="preserve">Chen v. Gonzales, </t>
  </si>
  <si>
    <t>152 Fed.Appx. 143, 2005 WL 2652051, C.A.3, October 18, 2005 (NO. 04-3871)</t>
  </si>
  <si>
    <t xml:space="preserve">Nunley v. Department of Justice, </t>
  </si>
  <si>
    <t>425 F.3d 1132, 2005 WL 2587251, C.A.8 (Ark.), October 14, 2005 (NO. 04-1922)</t>
  </si>
  <si>
    <t xml:space="preserve">Arena v. McShane, </t>
  </si>
  <si>
    <t>150 Fed.Appx. 165, 2005 WL 2596874, C.A.3 (Pa.), October 14, 2005 (NO. 04-3729)</t>
  </si>
  <si>
    <t xml:space="preserve">Cudjoe ex rel. Cudjoe v. Department of Veterans Affairs, </t>
  </si>
  <si>
    <t>426 F.3d 241, 2005 WL 2559713, C.A.3 (Pa.), October 13, 2005 (NO. 04-3003)</t>
  </si>
  <si>
    <t xml:space="preserve">Ford v. Bureau of Immigration &amp; Customs Enforcement, </t>
  </si>
  <si>
    <t>151 Fed.Appx. 152, 2005 WL 2562019, C.A.3 (Pa.), October 13, 2005 (NO. 04-3652)</t>
  </si>
  <si>
    <t xml:space="preserve">E.E.O.C. v. Avecia, Inc., </t>
  </si>
  <si>
    <t>151 Fed.Appx. 162, 2005 WL 2562617, C.A.3 (Del.), October 13, 2005 (NO. 04-3396)</t>
  </si>
  <si>
    <t xml:space="preserve">Lyles v. Phila Gas Works, </t>
  </si>
  <si>
    <t>151 Fed.Appx. 169, 2005 WL 2573319, C.A.3 (Pa.), October 13, 2005 (NO. 05-2083)</t>
  </si>
  <si>
    <t xml:space="preserve">Singh v. Attorney General of U.S., </t>
  </si>
  <si>
    <t>151 Fed.Appx. 172, 2005 WL 2573327, C.A.3, October 13, 2005 (NO. 03-2814)</t>
  </si>
  <si>
    <t xml:space="preserve">Vargas v. Attorney General of U.S., </t>
  </si>
  <si>
    <t>151 Fed.Appx. 134, 2005 WL 2521153, C.A.3, October 12, 2005 (NO. 04-4420)</t>
  </si>
  <si>
    <t xml:space="preserve">Beam v. Downey, </t>
  </si>
  <si>
    <t>151 Fed.Appx. 142, 2005 WL 2521389, C.A.3 (Pa.), October 12, 2005 (NO. 04-3424)</t>
  </si>
  <si>
    <t xml:space="preserve">Luis-Feliz v. Gonzales, </t>
  </si>
  <si>
    <t>145 Fed.Appx. 396, 2005 WL 2521607, C.A.3, October 12, 2005 (NO. 04-3301)</t>
  </si>
  <si>
    <t xml:space="preserve">Hannah v. City of Dover, </t>
  </si>
  <si>
    <t>152 Fed.Appx. 114, 2005 WL 2496170, C.A.3 (Del.), October 11, 2005 (NO. 05-2422)</t>
  </si>
  <si>
    <t xml:space="preserve">Conerly v. Yates, </t>
  </si>
  <si>
    <t>151 Fed.Appx. 128, 2005 WL 2496331, C.A.3 (Pa.), October 11, 2005 (NO. 04-4664)</t>
  </si>
  <si>
    <t xml:space="preserve">McGonigal v. Barnhart, </t>
  </si>
  <si>
    <t>153 Fed.Appx. 60, 2005 WL 2496368, 108 Soc.Sec.Rep.Serv. 233, C.A.3 (Pa.), October 11, 2005 (NO. 04-4718)</t>
  </si>
  <si>
    <t xml:space="preserve">Carrasquillo v. Commissioner of Social Sec., </t>
  </si>
  <si>
    <t>151 Fed.Appx. 132, 2005 WL 2496366, 108 Soc.Sec.Rep.Serv. 81, C.A.3 (N.J.), October 11, 2005 (NO. 04-3579)</t>
  </si>
  <si>
    <t xml:space="preserve">Falzett v. Pocono Mountain School Dist., </t>
  </si>
  <si>
    <t>152 Fed.Appx. 117, 2005 WL 2500122, 204 Ed. Law Rep. 64, C.A.3 (Pa.), October 11, 2005 (NO. 04-2356, 04-2501)</t>
  </si>
  <si>
    <t>145 Fed.Appx. 395, 2005 WL 2500199, C.A.3 (Pa.), October 11, 2005 (NO. 05-1039)</t>
  </si>
  <si>
    <t>150 Fed.Appx. 152, 2005 WL 2465240, C.A.3 (Pa.), October 06, 2005 (NO. 04-4691)</t>
  </si>
  <si>
    <t xml:space="preserve">In re GeoPharma, Inc. Securities Litigation, </t>
  </si>
  <si>
    <t>411 F.Supp.2d 434, 2006 WL 213274, Fed. Sec. L. Rep. P 93,659, S.D.N.Y., January 27, 2006 (NO. 04 CIV. 9463 (SAS))</t>
  </si>
  <si>
    <t xml:space="preserve">U.S. v. Hammer, </t>
  </si>
  <si>
    <t>404 F.Supp.2d 676, 2005 WL 3536206, M.D.Pa., December 27, 2005 (NO. 4:CR-96-239)</t>
  </si>
  <si>
    <t xml:space="preserve">Spradlin v. Borough of Danville, </t>
  </si>
  <si>
    <t>Not Reported in F.Supp.2d, 2005 WL 3320788, M.D.Pa., December 07, 2005 (NO. 4:CV 02 2237)</t>
  </si>
  <si>
    <t xml:space="preserve">In re Manbodh Asbestos Litigation Series, </t>
  </si>
  <si>
    <t>2005 WL 3487838, V.I.Super., November 28, 2005 (NO. 324/1997)</t>
  </si>
  <si>
    <t xml:space="preserve">In re Friedman's, Inc., </t>
  </si>
  <si>
    <t>356 B.R. 758, 2005 WL 4927681, Bkrtcy.S.D.Ga., November 23, 2005 (NO. 05-40129)</t>
  </si>
  <si>
    <t xml:space="preserve">Bronx Household of Faith v. Board of Educ. of City of New York, </t>
  </si>
  <si>
    <t>400 F.Supp.2d 581, 2005 WL 3071639, 205 Ed. Law Rep. 229, S.D.N.Y., November 16, 2005 (NO. 01 CIV. 8598 (LAP))</t>
  </si>
  <si>
    <t xml:space="preserve">Kasali v. J.P. Morgan/Chase Manhattan Mortg. Corp., </t>
  </si>
  <si>
    <t>Not Reported in F.Supp.2d, 2005 WL 2989299, 97 Fair Empl.Prac.Cas. (BNA) 157, E.D.Pa., November 07, 2005 (NO. CIV.A. 04-500)</t>
  </si>
  <si>
    <t>436 F.3d 174, 2006 WL 224016, C.A.3 (Pa.), January 31, 2006 (NO. 04-3841)</t>
  </si>
  <si>
    <t xml:space="preserve">U.S. v. Hartwell, </t>
  </si>
  <si>
    <t>435 F.3d 455, 2006 WL 224006, C.A.3 (Pa.), January 31, 2006 (NO. 04-3589)</t>
  </si>
  <si>
    <t xml:space="preserve">Berg Chilling Systems, Inc. v. Hull Corp., </t>
  </si>
  <si>
    <t>435 F.3d 444, 2006 WL 224002, 97 Fair Empl.Prac.Cas. (BNA) 555, 87 Empl. Prac. Dec. P 42,238, C.A.3 (Pa.), January 31, 2006 (NO. 04-4078)</t>
  </si>
  <si>
    <t xml:space="preserve">Jensen v. Potter, </t>
  </si>
  <si>
    <t>437 F.3d 381, 2006 WL 330326, C.A.3 (N.J.), February 14, 2006 (NO. 05-3045)</t>
  </si>
  <si>
    <t xml:space="preserve">In re Application of Adan, </t>
  </si>
  <si>
    <t>437 F.3d 374, 2006 WL 330325, 178 L.R.R.M. (BNA) 3153, 152 Lab.Cas. P 10,611, C.A.3, February 14, 2006 (NO. 04-4366, 04-3034)</t>
  </si>
  <si>
    <t xml:space="preserve">Engelhard Corp. v. N.L.R.B., </t>
  </si>
  <si>
    <t>438 F.3d 328, 2006 WL 335806, C.A.3 (Pa.), February 15, 2006 (NO. 03-4490, 03-4560, 03-4184, 04-2912, 03-4542)</t>
  </si>
  <si>
    <t>442 F.3d 177, 2006 WL 722160, 2006 A.M.C. 722, 2006-1 Trade Cases P 75,172, C.A.3 (Pa.), March 23, 2006 (NO. 05-1480)</t>
  </si>
  <si>
    <t xml:space="preserve">Stolt-Nielsen, S.A. v. U.S., </t>
  </si>
  <si>
    <t>196 Fed.Appx. 93, 2006 WL 2162308, C.A.3 (N.J.), August 02, 2006 (NO. 04-3934)</t>
  </si>
  <si>
    <t>456 F.3d 363, 2006 WL 2193075, C.A.3 (N.J.), August 03, 2006 (NO. 04-2744, 04-2745)</t>
  </si>
  <si>
    <t xml:space="preserve">Gross v. German Foundation Indus. Initiative, </t>
  </si>
  <si>
    <t>192 Fed.Appx. 110, 2006 WL 2466197, C.A.3 (Pa.), August 25, 2006 (NO. 04-2651)</t>
  </si>
  <si>
    <t xml:space="preserve">Rodriquez-Vera v. Johns, </t>
  </si>
  <si>
    <t>oro</t>
  </si>
  <si>
    <t xml:space="preserve">Fidelity Federal Bank &amp; Trust v. Kehoe, </t>
  </si>
  <si>
    <t>547 U.S. 1051, 126 S.Ct. 1612 (Mem), 2006 WL 173456, 164 L.Ed.2d 353, 74 USLW 3437, 74 USLW 3542, 2006 Daily Journal D.A.R. 3600, U.S., March 27, 2006 (NO. 05-919)</t>
  </si>
  <si>
    <t xml:space="preserve">Dozier v. Hendricks, </t>
  </si>
  <si>
    <t>199 Fed.Appx. 165, 2006 WL 2786868, C.A.3 (N.J.), September 28, 2006 (NO. 04-4539)</t>
  </si>
  <si>
    <t xml:space="preserve">Tenafly Eruv Ass'n, Inc. v. Borough of Tenafly, </t>
  </si>
  <si>
    <t>195 Fed.Appx. 93, 2006 WL 2547253, C.A.3 (N.J.), September 01, 2006 (NO. 01-3301)</t>
  </si>
  <si>
    <t xml:space="preserve">Guiles ex rel. Guiles v. Marineau, </t>
  </si>
  <si>
    <t>461 F.3d 320, 2006 WL 2499083, 212 Ed. Law Rep. 143, C.A.2 (Vt.), August 30, 2006 (NO. 05-0327(L), 05-0517(XAP))</t>
  </si>
  <si>
    <t xml:space="preserve">U.S. v. Lawson, </t>
  </si>
  <si>
    <t>461 F.3d 697, 2006 WL 2434993, 2006 Fed.App. 0315P, C.A.6 (Ky.), August 24, 2006 (NO. 05-6588)</t>
  </si>
  <si>
    <t xml:space="preserve">McCann v. Newman Irrevocable Trust, </t>
  </si>
  <si>
    <t>458 F.3d 281, 2006 WL 2361479, 70 Fed. R. Evid. Serv. 1044, C.A.3 (N.J.), August 16, 2006 (NO. 052312)</t>
  </si>
  <si>
    <t xml:space="preserve">MacWade v. Kelly, </t>
  </si>
  <si>
    <t>460 F.3d 260, 2006 WL 2328723, C.A.2 (N.Y.), August 11, 2006 (NO. 05-6754 CV)</t>
  </si>
  <si>
    <t xml:space="preserve">Bobb v. Attorney General of U.S., </t>
  </si>
  <si>
    <t>458 F.3d 213, 2006 WL 2193065, C.A.3, August 03, 2006 (NO. 05-2891)</t>
  </si>
  <si>
    <t xml:space="preserve">U.S. v. Decoud, </t>
  </si>
  <si>
    <t>456 F.3d 996, 2006 WL 2136603, 70 Fed. R. Evid. Serv. 893, 06 Cal. Daily Op. Serv. 7011, 2006 Daily Journal D.A.R. 10,171, C.A.9 (Cal.), August 02, 2006 (NO. 04-50318, 04-50374, 04-50478)</t>
  </si>
  <si>
    <t xml:space="preserve">Hill v. Borough of Kutztown, </t>
  </si>
  <si>
    <t>455 F.3d 225, 2006 WL 2061145, 98 Fair Empl.Prac.Cas. (BNA) 942, C.A.3 (Pa.), July 26, 2006 (NO. 05-1356)</t>
  </si>
  <si>
    <t xml:space="preserve">Deveraturda v. Globe Aviation Security Services, </t>
  </si>
  <si>
    <t>454 F.3d 1043, 2006 WL 2042897, 153 Lab.Cas. P 10,701, 24 IER Cases 1388, 06 Cal. Daily Op. Serv. 6599, 2006 Daily Journal D.A.R. 9631, C.A.9 (Cal.), July 24, 2006 (NO. 04-16633)</t>
  </si>
  <si>
    <t xml:space="preserve">Williams v. Consovoy, </t>
  </si>
  <si>
    <t>453 F.3d 173, 2006 WL 1786322, C.A.3 (N.J.), June 29, 2006 (NO. 04-3569)</t>
  </si>
  <si>
    <t xml:space="preserve">Cruz v. Attorney General of U.S., </t>
  </si>
  <si>
    <t>452 F.3d 240, 2006 WL 1687393, C.A.3, June 21, 2006 (NO. 05-2764)</t>
  </si>
  <si>
    <t xml:space="preserve">Policano v. Herbert, </t>
  </si>
  <si>
    <t>453 F.3d 79, 2006 WL 1698782, C.A.2 (N.Y.), June 21, 2006 (NO. 04-5518)</t>
  </si>
  <si>
    <t xml:space="preserve">U.S. v. Patton, </t>
  </si>
  <si>
    <t>451 F.3d 615, 2006 WL 1681336, 21 A.L.R. Fed. 2d 781, C.A.10 (Kan.), June 20, 2006 (NO. 05-3169)</t>
  </si>
  <si>
    <t xml:space="preserve">Shrum v. City of Coweta, Okla., </t>
  </si>
  <si>
    <t>449 F.3d 1132, 2006 WL 1554608, 98 Fair Empl.Prac.Cas. (BNA) 499, 88 Empl. Prac. Dec. P 42,412, 152 Lab.Cas. P 60,205, 24 IER Cases 993, C.A.10 (Okla.), June 08, 2006 (NO. 04-7037)</t>
  </si>
  <si>
    <t xml:space="preserve">Kambolli v. Gonzales, </t>
  </si>
  <si>
    <t>449 F.3d 454, 2006 WL 1453116, C.A.2, May 26, 2006 (NO. 03-40411-AG)</t>
  </si>
  <si>
    <t xml:space="preserve">Ci Pan v. U.S. Atty. Gen., </t>
  </si>
  <si>
    <t>449 F.3d 408, 2006 WL 1406360, C.A.2, May 23, 2006 (NO. 04-5265-AG)</t>
  </si>
  <si>
    <t xml:space="preserve">Missouri Protection &amp; Advocacy Services v. Missouri Dept. of Mental Health, </t>
  </si>
  <si>
    <t>447 F.3d 1021, 2006 WL 1236126, C.A.8 (Mo.), May 10, 2006 (NO. 05-1780, 05-3303)</t>
  </si>
  <si>
    <t xml:space="preserve">Protection &amp; Advocacy For Persons With Disabilities, Conn. v. Mental Health &amp; Addiction Services, </t>
  </si>
  <si>
    <t>448 F.3d 119, 2006 WL 1195924, 24 IER Cases 791, C.A.2 (Conn.), May 05, 2006 (NO. 05-1457-CV)</t>
  </si>
  <si>
    <t xml:space="preserve">Zhi Wei Pang v. Bureau of Citizenship and Immigration Services, </t>
  </si>
  <si>
    <t>448 F.3d 102, 2006 WL 1174082, C.A.2, May 03, 2006 (NO. 03-40333)</t>
  </si>
  <si>
    <t xml:space="preserve">Trask v. Franco, </t>
  </si>
  <si>
    <t>446 F.3d 1036, 2006 WL 1075595, 64 Fed.R.Serv.3d 781, C.A.10 (N.M.), April 25, 2006 (NO. 04-2078)</t>
  </si>
  <si>
    <t xml:space="preserve">La Tour v. City of Fayetteville, Ark., </t>
  </si>
  <si>
    <t>442 F.3d 1094, 2006 WL 870752, C.A.8 (Ark.), April 06, 2006 (NO. 03-2824)</t>
  </si>
  <si>
    <t xml:space="preserve">County Concrete Corp. v. Town of Roxbury, </t>
  </si>
  <si>
    <t>442 F.3d 159, 2006 WL 827790, C.A.3 (N.J.), March 31, 2006 (NO. 05-1680, 05-1865)</t>
  </si>
  <si>
    <t>m, c/d</t>
  </si>
  <si>
    <t xml:space="preserve">U.S. v. Virgil, </t>
  </si>
  <si>
    <t>444 F.3d 447, 2006 WL 771383, C.A.5 (Miss.), March 28, 2006 (NO. 05-60214)</t>
  </si>
  <si>
    <t xml:space="preserve">Mwembie v. Gonzales, </t>
  </si>
  <si>
    <t>443 F.3d 405, 2006 WL 649984, C.A.5, March 16, 2006 (NO. 04-60832)</t>
  </si>
  <si>
    <t xml:space="preserve">Hills v. Washington, </t>
  </si>
  <si>
    <t>441 F.3d 1374, 2006 WL 598127, 19 Fla. L. Weekly Fed. C 349, C.A.11 (Ga.), March 13, 2006 (NO. 04-14292)</t>
  </si>
  <si>
    <t xml:space="preserve">Gao v. Gonzales, </t>
  </si>
  <si>
    <t>440 F.3d 62, 2006 WL 509429, C.A.2, March 03, 2006 (NO. 04-1874-AG)</t>
  </si>
  <si>
    <t xml:space="preserve">Skoros v. City of New York, </t>
  </si>
  <si>
    <t>437 F.3d 1, 2006 WL 240709, 206 Ed. Law Rep. 525, C.A.2 (N.Y.), February 02, 2006 (NO. 04-1229-CV)</t>
  </si>
  <si>
    <t xml:space="preserve">Gagliardi v. Clark, </t>
  </si>
  <si>
    <t>Not Reported in F.Supp.2d, 2006 WL 2847409, W.D.Pa., September 28, 2006 (NO. CIV A 06-20)</t>
  </si>
  <si>
    <t xml:space="preserve">Davis v. Lavan, </t>
  </si>
  <si>
    <t>Not Reported in F.Supp.2d, 2006 WL 4719772, E.D.Pa., September 27, 2006 (NO. CIV.A.05-3865)</t>
  </si>
  <si>
    <t xml:space="preserve">Nextel West Corp. v. Town of Edgewood, New Mexico, </t>
  </si>
  <si>
    <t>479 F.Supp.2d 1219, 2006 WL 4390893, D.N.M., September 26, 2006 (NO. CIV 05-751 MCA/RLP)</t>
  </si>
  <si>
    <t xml:space="preserve">Spiering v. Heineman, </t>
  </si>
  <si>
    <t>448 F.Supp.2d 1129, 2006 WL 2602083, D.Neb., September 12, 2006 (NO. 4:04 CV 3385)</t>
  </si>
  <si>
    <t xml:space="preserve">Beverly v. BMW Constructors, Inc., </t>
  </si>
  <si>
    <t>Not Reported in F.Supp.2d, 2006 WL 2632578, N.D.Ind., September 12, 2006 (NO. 405CV00029 AS)</t>
  </si>
  <si>
    <t xml:space="preserve">DeJohn v. Temple University, </t>
  </si>
  <si>
    <t>Not Reported in F.Supp.2d, 2006 WL 2623274, E.D.Pa., September 11, 2006 (NO. CIV A 06-778)</t>
  </si>
  <si>
    <t xml:space="preserve">In re Machne Menachem, Inc., </t>
  </si>
  <si>
    <t>371 B.R. 63, 2006 WL 4632525, Bkrtcy.M.D.Pa., September 06, 2006 (NO. 5-01-BK-04926)</t>
  </si>
  <si>
    <t xml:space="preserve">Pichler v. Unite, </t>
  </si>
  <si>
    <t>446 F.Supp.2d 353, 2006 WL 2529688, 180 L.R.R.M. (BNA) 2597, E.D.Pa., August 30, 2006 (NO. CIV A 04-2841)</t>
  </si>
  <si>
    <t xml:space="preserve">Dimensional Music Publishing, LLC v. Kersey ex rel. Estate of Kersey, </t>
  </si>
  <si>
    <t>448 F.Supp.2d 643, 2006 WL 2458565, E.D.Pa., August 25, 2006 (NO. CIV.A.05-6437)</t>
  </si>
  <si>
    <t>m, m</t>
  </si>
  <si>
    <t xml:space="preserve">Faegre &amp; Benson, LLP v. Purdy, </t>
  </si>
  <si>
    <t>447 F.Supp.2d 1008, 2006 WL 2466141, 82 U.S.P.Q.2d 1923, D.Minn., August 24, 2006 (NO. CIV.03-6472(MJD/SRN))</t>
  </si>
  <si>
    <t xml:space="preserve">Crawford v. Board of Regents of University System of Georgia, </t>
  </si>
  <si>
    <t>Not Reported in F.Supp.2d, 2006 WL 4119777, N.D.Ga., August 24, 2006 (NO. 1:04CV0089 JOFJMF)</t>
  </si>
  <si>
    <t xml:space="preserve">In re Portal Software, Inc. Securities Litigation, </t>
  </si>
  <si>
    <t>Not Reported in F.Supp.2d, 2006 WL 2385250, Fed. Sec. L. Rep. P 93,952, N.D.Cal., August 17, 2006 (NO. C 03 5138 VRW)</t>
  </si>
  <si>
    <t xml:space="preserve">Wigfall v. Duval, </t>
  </si>
  <si>
    <t>Not Reported in F.Supp.2d, 2006 WL 2381285, D.Mass., August 15, 2006 (NO. CIV A 00-12274-DPW)</t>
  </si>
  <si>
    <t xml:space="preserve">U.S. v. Rankin, </t>
  </si>
  <si>
    <t>442 F.Supp.2d 225, 2006 WL 2246145, E.D.Pa., August 04, 2006 (NO. CRIM.05-615)</t>
  </si>
  <si>
    <t>Not Reported in F.Supp.2d, 2006 WL 2221629, 36 Envtl. L. Rep. 20,165, M.D.Fla., August 02, 2006 (NO. 3:05 CR 159 J 32HTS)</t>
  </si>
  <si>
    <t>p</t>
  </si>
  <si>
    <t xml:space="preserve">U.S. v. Kandirakis, </t>
  </si>
  <si>
    <t>441 F.Supp.2d 282, 2006 WL 2147610, D.Mass., August 01, 2006 (NO. CR..A.04-10372-WGY)</t>
  </si>
  <si>
    <t xml:space="preserve">Deal ex rel Deal v. Hamilton County Dept. of Educ., </t>
  </si>
  <si>
    <t>Not Reported in F.Supp.2d, 2006 WL 2854463, E.D.Tenn., August 01, 2006 (NO. 1:01-CV-295)</t>
  </si>
  <si>
    <t xml:space="preserve">Ecogen, LLC v. Town of Italy, </t>
  </si>
  <si>
    <t>438 F.Supp.2d 149, 2006 WL 1966734, W.D.N.Y., July 11, 2006 (NO. 06-CV-6196 L)</t>
  </si>
  <si>
    <t>c/d, c/d</t>
  </si>
  <si>
    <t xml:space="preserve">K.C. v. Fulton County School Dist., </t>
  </si>
  <si>
    <t>Not Reported in F.Supp.2d, 2006 WL 1868348, N.D.Ga., June 30, 2006 (NO. CIV.A. 103CV3501TWT)</t>
  </si>
  <si>
    <t xml:space="preserve">In re Piccadilly Cafeterias, Inc., </t>
  </si>
  <si>
    <t>379 B.R. 215, 2006 WL 5085257, S.D.Fla., June 26, 2006 (NO. 06-60553-CIV)</t>
  </si>
  <si>
    <t xml:space="preserve">In re Walker, </t>
  </si>
  <si>
    <t>356 B.R. 834, 2006 WL 3457848, 20 Fla. L. Weekly Fed. B 53, Bkrtcy.S.D.Fla., June 20, 2006 (NO. 03-32158-BKC-PGH)</t>
  </si>
  <si>
    <t xml:space="preserve">In re Glunk, </t>
  </si>
  <si>
    <t>342 B.R. 717, 2006 WL 1593994, Bkrtcy.E.D.Pa., June 12, 2006 (NO. 05-31656ELF)</t>
  </si>
  <si>
    <t>Not Reported in F.Supp.2d, 2006 WL 1476021, W.D.La., May 23, 2006 (NO. CRIM. 06-50078)</t>
  </si>
  <si>
    <t xml:space="preserve">In re Premium Escrow Services, Inc., </t>
  </si>
  <si>
    <t>342 B.R. 390, 2006 WL 1462591, 46 Bankr.Ct.Dec. 169, Bkrtcy.D.Dist.Col., May 23, 2006 (NO. 02-02358, 04-10455)</t>
  </si>
  <si>
    <t xml:space="preserve">Peoples Super Liquor Stores, Inc. v. Jenkins, </t>
  </si>
  <si>
    <t>432 F.Supp.2d 200, 2006 WL 1233154, D.Mass., May 08, 2006 (NO. CIV. 04-12219-PBS)</t>
  </si>
  <si>
    <t>Not Reported in F.Supp.2d, 2006 WL 1215090, E.D.Pa., May 05, 2006 (NO. CRIM.A.05-544-1)</t>
  </si>
  <si>
    <t xml:space="preserve">In re eSpeed, Inc. Securities Litigation, </t>
  </si>
  <si>
    <t>457 F.Supp.2d 266, 2006 WL 880045, Fed. Sec. L. Rep. P 93,827, S.D.N.Y., April 03, 2006 (NO. 05 CIV.2091(SAS))</t>
  </si>
  <si>
    <t xml:space="preserve">In re Adelphia Communications Corp., </t>
  </si>
  <si>
    <t>342 B.R. 122, 2006 WL 846371, S.D.N.Y., March 30, 2006 (NO. 06 CIV. 1445 (SAS))</t>
  </si>
  <si>
    <t xml:space="preserve">Killingsworth v. Potter, </t>
  </si>
  <si>
    <t>Not Reported in F.Supp.2d, 2006 WL 724542, E.D.Pa., March 20, 2006 (NO. CIV.A. 05-4271)</t>
  </si>
  <si>
    <t xml:space="preserve">Brett S. ex rel. Charles S. v. West Chester Area School Dist., </t>
  </si>
  <si>
    <t>Not Reported in F.Supp.2d, 2006 WL 680936, E.D.Pa., March 13, 2006 (NO. CIV.A. 04-5598)</t>
  </si>
  <si>
    <t xml:space="preserve">Meyers v. Schuylkill County Prison, </t>
  </si>
  <si>
    <t>Not Reported in F.Supp.2d, 2006 WL 559467, M.D.Pa., March 07, 2006 (NO. 4:CV-04-1123)</t>
  </si>
  <si>
    <t xml:space="preserve">Lynn ex rel. Julie B. v. St. Anne Institute, </t>
  </si>
  <si>
    <t>Not Reported in F.Supp.2d, 2006 WL 516796, N.D.N.Y., March 02, 2006 (NO. 03 CV 1333)</t>
  </si>
  <si>
    <t xml:space="preserve">Enigwe v. Snizeik, </t>
  </si>
  <si>
    <t>Not Reported in F.Supp.2d, 2006 WL 413592, N.D.Ohio, February 21, 2006 (NO. 4:05 CV 2734)</t>
  </si>
  <si>
    <t xml:space="preserve">Boll v. Safe Harbor Marina, LTD., </t>
  </si>
  <si>
    <t>114 Fed.Appx. 467, 2004 WL 2190952, C.A.3 (Pa.), September 30, 2004 (NO. 03-2289)</t>
  </si>
  <si>
    <t xml:space="preserve">U.S. v. Cunningham, </t>
  </si>
  <si>
    <t>110 Fed.Appx. 238, 2004 WL 2190957, C.A.3 (Pa.), September 30, 2004 (NO. 03-4585)</t>
  </si>
  <si>
    <t>110 Fed.Appx. 245, 2004 WL 2191024, C.A.3 (Pa.), September 30, 2004 (NO. 03-3066)</t>
  </si>
  <si>
    <t>111 Fed.Appx. 659, 2004 WL 2203969, C.A.3 (Pa.), September 30, 2004 (NO. 03-3048)</t>
  </si>
  <si>
    <t xml:space="preserve">Bacone v. Philadelphia Housing Authority, </t>
  </si>
  <si>
    <t>112 Fed.Appx. 127, 2004 WL 2203970, C.A.3 (Pa.), September 15, 2004 (NO. 03-2392)</t>
  </si>
  <si>
    <t xml:space="preserve">U.S. v. Sierra, </t>
  </si>
  <si>
    <t>109 Fed.Appx. 501, 2004 WL 2203971, C.A.3 (Pa.), September 30, 2004 (NO. 03-2127)</t>
  </si>
  <si>
    <t xml:space="preserve">Askari v. Ashcroft, </t>
  </si>
  <si>
    <t>110 Fed.Appx. 254, 2004 WL 2203972, C.A.3, September 30, 2004 (NO. 03-4456, 03-2264)</t>
  </si>
  <si>
    <t xml:space="preserve">Valdivia v. Ashcroft, </t>
  </si>
  <si>
    <t>110 Fed.Appx. 258, 2004 WL 2203973, C.A.3, September 17, 2004 (NO. 03-2497, 03-3406)</t>
  </si>
  <si>
    <t xml:space="preserve">Szusterman v. Amoco Oil Co., </t>
  </si>
  <si>
    <t>112 Fed.Appx. 130, 2004 WL 2203975, C.A.3 (N.J.), September 30, 2004 (NO. 03-3360)</t>
  </si>
  <si>
    <t xml:space="preserve">Nachtsheim v. Continental Airlines, </t>
  </si>
  <si>
    <t>111 Fed.Appx. 113, 2004 WL 2203978, C.A.3 (N.J.), September 30, 2004 (NO. 03-2775)</t>
  </si>
  <si>
    <t xml:space="preserve">Allstate Ins. Co. v. Drumheller, </t>
  </si>
  <si>
    <t>115 Fed.Appx. 528, 2004 WL 2203980, C.A.3 (Pa.), September 30, 2004 (NO. 03-3733)</t>
  </si>
  <si>
    <t xml:space="preserve">Camara v. Ashcroft, </t>
  </si>
  <si>
    <t>110 Fed.Appx. 262, 2004 WL 2203983, C.A.3, September 15, 2004 (NO. 04-1561)</t>
  </si>
  <si>
    <t xml:space="preserve">Garbacik v. Janson, </t>
  </si>
  <si>
    <t>111 Fed.Appx. 91, 2004 WL 2203976, C.A.3 (Pa.), September 29, 2004 (NO. 03-3149)</t>
  </si>
  <si>
    <t xml:space="preserve">In re G-I Holdings, Inc., </t>
  </si>
  <si>
    <t>385 F.3d 313, 2004 WL 2125620, 43 Bankr.Ct.Dec. 183, Bankr. L. Rep. P 80,170, 65 Fed. R. Evid. Serv. 470, C.A.3 (N.J.), September 24, 2004 (NO. 03-3188)</t>
  </si>
  <si>
    <t xml:space="preserve">Malak v. Ashcroft, </t>
  </si>
  <si>
    <t>110 Fed.Appx. 217, 2004 WL 2202256, C.A.3, September 24, 2004 (NO. 03-1056, 03-4206)</t>
  </si>
  <si>
    <t xml:space="preserve">U.S. v. Larwa, </t>
  </si>
  <si>
    <t>110 Fed.Appx. 220, 2004 WL 2202271, C.A.3 (Pa.), September 24, 2004 (NO. 03-1553)</t>
  </si>
  <si>
    <t xml:space="preserve">U.S. v. Reynoso, </t>
  </si>
  <si>
    <t>109 Fed.Appx. 499, 2004 WL 2202274, C.A.3 (Pa.), September 24, 2004 (NO. 03-1747)</t>
  </si>
  <si>
    <t xml:space="preserve">Singh-Kaur v. Ashcroft, </t>
  </si>
  <si>
    <t>385 F.3d 293, 2004 WL 2109978, C.A.3, September 23, 2004 (NO. 03-1766)</t>
  </si>
  <si>
    <t>108 Fed.Appx. 741, 2004 WL 2165875, C.A.3 (Pa.), September 23, 2004 (NO. 03-1859)</t>
  </si>
  <si>
    <t xml:space="preserve">D.T.B. v. Farmer, </t>
  </si>
  <si>
    <t>114 Fed.Appx. 446, 2004 WL 2202275, C.A.3 (N.J.), September 14, 2004 (NO. 03-4259)</t>
  </si>
  <si>
    <t xml:space="preserve">D.T.B. v. Advisory Committee on Judicial Conduct to Supreme Court of State of New Jersey, </t>
  </si>
  <si>
    <t>114 Fed.Appx. 447, 2004 WL 2202278, C.A.3 (N.J.), September 14, 2004 (NO. 03-2294)</t>
  </si>
  <si>
    <t>383 F.3d 92, 2004 WL 1964498, C.A.3 (Pa.), September 07, 2004 (NO. 03-2574)</t>
  </si>
  <si>
    <t xml:space="preserve">Golden ex rel. Golden v. Golden, </t>
  </si>
  <si>
    <t>382 F.3d 348, 2004 WL 1949236, 24 Fiduc.Rep.2d 484, C.A.3 (Pa.), September 03, 2004 (NO. 03-2184)</t>
  </si>
  <si>
    <t xml:space="preserve">Soltane v. U.S. Dept. of Justice, </t>
  </si>
  <si>
    <t>381 F.3d 143, 2004 WL 1903287, 26 A.L.R. Fed. 2d 777, C.A.3 (Pa.), August 26, 2004 (NO. 03-1626)</t>
  </si>
  <si>
    <t xml:space="preserve">U.S. v. Pepsny, </t>
  </si>
  <si>
    <t>108 Fed.Appx. 713, 2004 WL 1873996, C.A.3 (N.J.), August 23, 2004 (NO. 03-2810, 03-2928)</t>
  </si>
  <si>
    <t xml:space="preserve">Blackhawk v. Pennsylvania, </t>
  </si>
  <si>
    <t>381 F.3d 202, 2004 WL 1859800, 34 Envtl. L. Rep. 20,079, C.A.3 (Pa.), August 20, 2004 (NO. 02-3947, 02-4158)</t>
  </si>
  <si>
    <t xml:space="preserve">Chen v. Ashcroft, </t>
  </si>
  <si>
    <t>381 F.3d 221, 2004 WL 1859807, C.A.3, August 20, 2004 (NO. 03-3124)</t>
  </si>
  <si>
    <t xml:space="preserve">Shore Regional High School Bd. of Educ. v. P.S. ex rel. P.S., </t>
  </si>
  <si>
    <t>381 F.3d 194, 2004 WL 1859814, 191 Ed. Law Rep. 641, C.A.3 (N.J.), August 20, 2004 (NO. 03-3438)</t>
  </si>
  <si>
    <t xml:space="preserve">Scherzer v. Ortiz, </t>
  </si>
  <si>
    <t>111 Fed.Appx. 78, 2004 WL 1842679, C.A.3 (N.J.), August 18, 2004 (NO. 02-4608, 02-4609)</t>
  </si>
  <si>
    <t xml:space="preserve">Fielder v. Varner, </t>
  </si>
  <si>
    <t>379 F.3d 113, 2004 WL 1769215, C.A.3 (Pa.), August 09, 2004 (NO. 01-1463)</t>
  </si>
  <si>
    <t xml:space="preserve">Goguadze v. Ashcroft, </t>
  </si>
  <si>
    <t>106 Fed.Appx. 800, 2004 WL 1758229, C.A.3, August 05, 2004 (NO. 03-2245)</t>
  </si>
  <si>
    <t xml:space="preserve">Lima-Gonzalez v. Ashcroft, </t>
  </si>
  <si>
    <t>106 Fed.Appx. 123, 2004 WL 1719471, C.A.3, August 02, 2004 (NO. 02-4390)</t>
  </si>
  <si>
    <t xml:space="preserve">Pitt News v. Pappert, </t>
  </si>
  <si>
    <t>379 F.3d 96, 2004 WL 1689681, 191 Ed. Law Rep. 57, 132 Media L. Rep. 2032, C.A.3 (Pa.), July 29, 2004 (NO. 03-1725)</t>
  </si>
  <si>
    <t xml:space="preserve">Petroleos Mexicanos Refinacion v. M/T KING A (EX-TBILISI), </t>
  </si>
  <si>
    <t>377 F.3d 329, 2004 WL 1689683, 2004 A.M.C. 2009, C.A.3 (N.J.), July 29, 2004 (NO. 03-2541)</t>
  </si>
  <si>
    <t xml:space="preserve">Lorillard Tobacco Co. v. Bisan Food Corp., </t>
  </si>
  <si>
    <t>377 F.3d 313, 2004 WL 1682766, 71 U.S.P.Q.2d 1953, C.A.3 (N.J.), July 28, 2004 (NO. 03-3161, 03-3151, 03-3160)</t>
  </si>
  <si>
    <t xml:space="preserve">Sookhoo v. Becton Dickinson and Co., </t>
  </si>
  <si>
    <t>104 Fed.Appx. 825, 2004 WL 1683087, C.A.3 (N.J.), July 28, 2004 (NO. 03-3216)</t>
  </si>
  <si>
    <t xml:space="preserve">Sidibeh v. Elwood, </t>
  </si>
  <si>
    <t>104 Fed.Appx. 831, 2004 WL 1683094, C.A.3, July 28, 2004 (NO. 02-4332)</t>
  </si>
  <si>
    <t xml:space="preserve">Sinclair v. Commissioner of Social Sec., </t>
  </si>
  <si>
    <t>106 Fed.Appx. 121, 2004 WL 1659778, C.A.3 (N.J.), July 26, 2004 (NO. 03-4846)</t>
  </si>
  <si>
    <t xml:space="preserve">Khodara Environmental, Inc. v. Blakey, </t>
  </si>
  <si>
    <t>376 F.3d 187, 2004 WL 1621657, 58 ERC 2072, 34 Envtl. L. Rep. 20,053, C.A.3 (Pa.), July 21, 2004 (NO. 02-4038)</t>
  </si>
  <si>
    <t xml:space="preserve">Maiorano v. Barnhart, </t>
  </si>
  <si>
    <t>105 Fed.Appx. 374, 2004 WL 1627258, 99 Soc.Sec.Rep.Serv. 558, C.A.3 (N.J.), July 21, 2004 (NO. 03-3690)</t>
  </si>
  <si>
    <t xml:space="preserve">Botts v. New York Times Co., </t>
  </si>
  <si>
    <t>106 Fed.Appx. 109, 2004 WL 1616354, 32 Media L. Rep. 1993, C.A.3 (N.J.), July 20, 2004 (NO. 03-4009)</t>
  </si>
  <si>
    <t xml:space="preserve">In re Armstrong World Industries, Inc., </t>
  </si>
  <si>
    <t>106 Fed.Appx. 785, 2004 WL 1616393, C.A.3 (Del.), July 20, 2004 (NO. 02-1057)</t>
  </si>
  <si>
    <t xml:space="preserve">Wei Zheng v. Ashcroft, </t>
  </si>
  <si>
    <t>104 Fed.Appx. 251, 2004 WL 1588177, C.A.3, July 16, 2004 (NO. 03-3237)</t>
  </si>
  <si>
    <t xml:space="preserve">Xing Chan Yang v. Ashcroft, </t>
  </si>
  <si>
    <t>104 Fed.Appx. 254, 2004 WL 1588178, C.A.3, July 16, 2004 (NO. 02-3931)</t>
  </si>
  <si>
    <t xml:space="preserve">U.S. v. Bost, </t>
  </si>
  <si>
    <t>105 Fed.Appx. 361, 2004 WL 1588180, C.A.3 (N.J.), July 16, 2004 (NO. 03-3917)</t>
  </si>
  <si>
    <t xml:space="preserve">U.S. v. Pray, </t>
  </si>
  <si>
    <t>373 F.3d 358, 2004 WL 1474697, C.A.3 (Pa.), July 02, 2004 (NO. 01-2473)</t>
  </si>
  <si>
    <t xml:space="preserve">U.S. v. Orlando, </t>
  </si>
  <si>
    <t>111 Fed.Appx. 651, 2004 WL 2544939, C.A.3 (N.J.), July 01, 2004 (NO. 03-4315)</t>
  </si>
  <si>
    <t xml:space="preserve">Nasr v. Ashcroft, </t>
  </si>
  <si>
    <t>113 Fed.Appx. 429, 2004 WL 2544961, C.A.3, July 01, 2004 (NO. 02-4142)</t>
  </si>
  <si>
    <t xml:space="preserve">Nelson v. Commissioner of Social Sec., </t>
  </si>
  <si>
    <t>101 Fed.Appx. 884, 2004 WL 1435281, C.A.3 (N.J.), June 28, 2004 (NO. 03-4740)</t>
  </si>
  <si>
    <t xml:space="preserve">Musa v. Ashcroft, </t>
  </si>
  <si>
    <t>101 Fed.Appx. 379, 2004 WL 1418754, C.A.3, June 25, 2004 (NO. 02-4267)</t>
  </si>
  <si>
    <t xml:space="preserve">Gui Cun Liu v. Ashcroft, </t>
  </si>
  <si>
    <t>372 F.3d 529, 2004 WL 1414207, 64 Fed. R. Evid. Serv. 838, C.A.3, June 24, 2004 (NO. 02-4334)</t>
  </si>
  <si>
    <t xml:space="preserve">U.S. v. Rutland, </t>
  </si>
  <si>
    <t>372 F.3d 543, 2004 WL 1396281, 64 Fed. R. Evid. Serv. 833, C.A.3 (N.J.), June 23, 2004 (NO. 03-3915)</t>
  </si>
  <si>
    <t xml:space="preserve">McLeod v. Hartford Life and Acc. Ins. Co., </t>
  </si>
  <si>
    <t>372 F.3d 618, 2004 WL 1385876, 32 Employee Benefits Cas. 3001, C.A.3 (Pa.), June 22, 2004 (NO. 03-1744)</t>
  </si>
  <si>
    <t xml:space="preserve">Thimou v. Commissioner of Social Sec., </t>
  </si>
  <si>
    <t>101 Fed.Appx. 377, 2004 WL 1386243, C.A.3 (N.J.), June 22, 2004 (NO. 03-4780)</t>
  </si>
  <si>
    <t xml:space="preserve">In re Tops Appliance City, Inc., </t>
  </si>
  <si>
    <t>372 F.3d 510, 2004 WL 1375312, 43 Bankr.Ct.Dec. 47, Bankr. L. Rep. P 80,117, 54 UCC Rep.Serv.2d 68, C.A.3 (N.J.), June 21, 2004 (NO. 02-4177)</t>
  </si>
  <si>
    <t xml:space="preserve">Spruill v. Gillis, </t>
  </si>
  <si>
    <t>372 F.3d 218, 2004 WL 1366974, C.A.3 (Pa.), June 18, 2004 (NO. 02-2659)</t>
  </si>
  <si>
    <t xml:space="preserve">Benn v. Universal Health System, Inc., </t>
  </si>
  <si>
    <t>371 F.3d 165, 2004 WL 1351495, C.A.3 (Pa.), June 17, 2004 (NO. 01-3450)</t>
  </si>
  <si>
    <t xml:space="preserve">Skretvedt v. E.I. DuPont De Nemours, </t>
  </si>
  <si>
    <t>372 F.3d 193, 2004 WL 1336274, 32 Employee Benefits Cas. 2834, Pens. Plan Guide (CCH) P 23989H, C.A.3 (Del.), June 16, 2004 (NO. 02-3620, 02-4283)</t>
  </si>
  <si>
    <t xml:space="preserve">In re Alpharma Inc. Securities Litigation, </t>
  </si>
  <si>
    <t>372 F.3d 137, 2004 WL 1326013, Fed. Sec. L. Rep. P 93,851, C.A.3 (N.J.), June 15, 2004 (NO. 02-3348)</t>
  </si>
  <si>
    <t xml:space="preserve">Owens ex rel. Owens v. Lott, </t>
  </si>
  <si>
    <t>372 F.3d 267, 2004 WL 1326485, C.A.4 (S.C.), June 15, 2004 (NO. 03-1194, 03-1196)</t>
  </si>
  <si>
    <t xml:space="preserve">U.S. v. Rennert, </t>
  </si>
  <si>
    <t>374 F.3d 206, 2004 WL 1276734, C.A.3 (Pa.), June 10, 2004 (NO. 03-1511, 03-1518, 03-1519)</t>
  </si>
  <si>
    <t xml:space="preserve">Polini v. Lucent Technologies, </t>
  </si>
  <si>
    <t>100 Fed.Appx. 112, 2004 WL 1292554, 28 NDLR P 133, C.A.3 (Pa.), June 10, 2004 (NO. 03-2285)</t>
  </si>
  <si>
    <t>um, nr</t>
  </si>
  <si>
    <t xml:space="preserve">Penn West Associates, Inc. v. Cohen, </t>
  </si>
  <si>
    <t>371 F.3d 118, 2004 WL 1254347, RICO Bus.Disp.Guide 10,693, C.A.3 (Pa.), June 09, 2004 (NO. 02-4344)</t>
  </si>
  <si>
    <t xml:space="preserve">Allan v. Ashcroft, </t>
  </si>
  <si>
    <t>122 Fed.Appx. 543, 2004 WL 1256841, C.A.3 (Pa.), June 09, 2004 (NO. 02-4165)</t>
  </si>
  <si>
    <t xml:space="preserve">White v. Communications Workers of America, AFL-CIO, Local 1300, </t>
  </si>
  <si>
    <t>370 F.3d 346, 2004 WL 1225619, 174 L.R.R.M. (BNA) 3337, 149 Lab.Cas. P 10,351, C.A.3 (Pa.), June 04, 2004 (NO. 00-1816)</t>
  </si>
  <si>
    <t xml:space="preserve">Staples, Inc. v. Wausau Underwriters Ins. Co., </t>
  </si>
  <si>
    <t>100 Fed.Appx. 84, 2004 WL 1217373, C.A.3 (Pa.), June 03, 2004 (NO. 03-1317)</t>
  </si>
  <si>
    <t xml:space="preserve">2660 Woodley Road Joint Venture v. ITT Sheraton Corp., </t>
  </si>
  <si>
    <t>369 F.3d 732, 2004 WL 1152832, 2004-1 Trade Cases P 74,423, C.A.3 (Del.), May 25, 2004 (NO. 02-1418, 02-1297)</t>
  </si>
  <si>
    <t xml:space="preserve">Jansen v. U.S., </t>
  </si>
  <si>
    <t>369 F.3d 237, 2004 WL 1126315, C.A.3 (Pa.), May 21, 2004 (NO. 02-4215)</t>
  </si>
  <si>
    <t xml:space="preserve">Ki Se Lee v. Ashcroft, </t>
  </si>
  <si>
    <t>368 F.3d 218, 2004 WL 1118720, C.A.3, May 19, 2004 (NO. 02-4602)</t>
  </si>
  <si>
    <t xml:space="preserve">Camden Fire Ins. Ass'n v. KML Sales, Inc., </t>
  </si>
  <si>
    <t>99 Fed.Appx. 367, 2004 WL 1147055, C.A.3 (Pa.), May 19, 2004 (NO. 02-4114)</t>
  </si>
  <si>
    <t xml:space="preserve">Poole v. Family Court of New Castle County, </t>
  </si>
  <si>
    <t>368 F.3d 263, 2004 WL 1067927, 58 Fed.R.Serv.3d 487, C.A.3 (Del.), May 13, 2004 (NO. 02-2364)</t>
  </si>
  <si>
    <t xml:space="preserve">Frederick v. Kyler, </t>
  </si>
  <si>
    <t>100 Fed.Appx. 872, 2004 WL 1070497, C.A.3 (Pa.), May 12, 2004 (NO. 03-1313)</t>
  </si>
  <si>
    <t xml:space="preserve">Sabree ex rel. Sabree v. Richman, </t>
  </si>
  <si>
    <t>367 F.3d 180, 2004 WL 1048325, Med &amp; Med GD (CCH) P 301,479, C.A.3 (Pa.), May 11, 2004 (NO. 03-1226)</t>
  </si>
  <si>
    <t xml:space="preserve">Smiriglio v. Hudson United Bank, </t>
  </si>
  <si>
    <t>98 Fed.Appx. 914, 2004 WL 1059831, C.A.3 (N.J.), May 11, 2004 (NO. 03-3090)</t>
  </si>
  <si>
    <t xml:space="preserve">In re Martin's Aquarium, Inc., </t>
  </si>
  <si>
    <t>98 Fed.Appx. 911, 2004 WL 1012814, C.A.3 (Pa.), May 05, 2004 (NO. 02-4538)</t>
  </si>
  <si>
    <t xml:space="preserve">Jordan v. Stanziola, </t>
  </si>
  <si>
    <t>96 Fed.Appx. 839, 2004 WL 963286, 28 NDLR P 56, C.A.3 (Pa.), May 04, 2004 (NO. 02-4536)</t>
  </si>
  <si>
    <t xml:space="preserve">U.S. v. Hoffner, </t>
  </si>
  <si>
    <t>96 Fed.Appx. 85, 2004 WL 909709, C.A.3 (Pa.), April 29, 2004 (NO. 02-2642)</t>
  </si>
  <si>
    <t xml:space="preserve">U.S. v. Allegheny Ludlum Corp., </t>
  </si>
  <si>
    <t>366 F.3d 164, 2004 WL 895879, 58 ERC 1225, 34 Envtl. L. Rep. 20,029, C.A.3 (Pa.), April 28, 2004 (NO. 02-4346)</t>
  </si>
  <si>
    <t>96 Fed.Appx. 88, 2004 WL 909707, C.A.3 (Pa.), April 28, 2004 (NO. 02-3791)</t>
  </si>
  <si>
    <t xml:space="preserve">Brobst v. Barnhart, </t>
  </si>
  <si>
    <t>96 Fed.Appx. 824, 2004 WL 896634, C.A.3 (Pa.), April 27, 2004 (NO. 03-3368)</t>
  </si>
  <si>
    <t xml:space="preserve">McChesney v. Commissioner of Social Sec., </t>
  </si>
  <si>
    <t>95 Fed.Appx. 457, 2004 WL 886260, C.A.3 (Pa.), April 26, 2004 (NO. 03-3058)</t>
  </si>
  <si>
    <t xml:space="preserve">Kelley v. Wegman's Food Markets, Inc., </t>
  </si>
  <si>
    <t>98 Fed.Appx. 102, 2004 WL 886261, C.A.3 (Pa.), April 26, 2004 (NO. 03-2741, 03-2792)</t>
  </si>
  <si>
    <t>95 Fed.Appx. 459, 2004 WL 886271, C.A.3 (Pa.), April 26, 2004 (NO. 03-2589)</t>
  </si>
  <si>
    <t xml:space="preserve">Wang v. Ashcroft, </t>
  </si>
  <si>
    <t>95 Fed.Appx. 444, 2004 WL 870868, C.A.3, April 23, 2004 (NO. 03-2838)</t>
  </si>
  <si>
    <t>96 Fed.Appx. 812, 2004 WL 882194, C.A.3 (Pa.), April 23, 2004 (NO. 01-2608)</t>
  </si>
  <si>
    <t xml:space="preserve">U.S. v. Mosley, </t>
  </si>
  <si>
    <t>96 Fed.Appx. 814, 2004 WL 1054849, C.A.3 (Pa.), April 23, 2004 (NO. 03-1815, 02-4246)</t>
  </si>
  <si>
    <t xml:space="preserve">U.S. v. Phyllian, </t>
  </si>
  <si>
    <t>95 Fed.Appx. 430, 2004 WL 870870, C.A.3 (Pa.), April 22, 2004 (NO. 03-2843)</t>
  </si>
  <si>
    <t xml:space="preserve">U.S. v. Wiggins, </t>
  </si>
  <si>
    <t>94 Fed.Appx. 959, 2004 WL 835979, C.A.3 (Pa.), April 20, 2004 (NO. 03-3527)</t>
  </si>
  <si>
    <t>94 Fed.Appx. 964, 2004 WL 843406, C.A.3 (Pa.), April 20, 2004 (NO. 03-2880)</t>
  </si>
  <si>
    <t xml:space="preserve">U.S. v. Katzin, </t>
  </si>
  <si>
    <t>94 Fed.Appx. 134, 2004 WL 830919, C.A.3 (Pa.), April 19, 2004 (NO. 02-2407)</t>
  </si>
  <si>
    <t xml:space="preserve">U.S. v. Worrells, </t>
  </si>
  <si>
    <t>94 Fed.Appx. 927, 2004 WL 835783, C.A.3 (Pa.), April 19, 2004 (NO. 01-2399, 03-3290)</t>
  </si>
  <si>
    <t>94 Fed.Appx. 930, 2004 WL 835786, C.A.3, April 19, 2004 (NO. 03-1904)</t>
  </si>
  <si>
    <t xml:space="preserve">Leach v. Barnhart, </t>
  </si>
  <si>
    <t>94 Fed.Appx. 910, 2004 WL 830948, C.A.3 (N.J.), April 16, 2004 (NO. 02-4125)</t>
  </si>
  <si>
    <t xml:space="preserve">Cardona v. Commissioner of Social Security, </t>
  </si>
  <si>
    <t>94 Fed.Appx. 106, 2004 WL 817350, C.A.3 (N.J.), April 15, 2004 (NO. 03-2472)</t>
  </si>
  <si>
    <t xml:space="preserve">Ou v. Ashcroft, </t>
  </si>
  <si>
    <t>94 Fed.Appx. 108, 2004 WL 817352, C.A.3, April 15, 2004 (NO. 03-1783)</t>
  </si>
  <si>
    <t xml:space="preserve">Tahiraj-Datui v. Ashcroft, </t>
  </si>
  <si>
    <t>94 Fed.Appx. 115, 2004 WL 817400, C.A.3, April 15, 2004 (NO. 03-1060)</t>
  </si>
  <si>
    <t xml:space="preserve">U.S. v. Rodgers, </t>
  </si>
  <si>
    <t>94 Fed.Appx. 82, 2004 WL 790306, C.A.3 (N.J.), April 14, 2004 (NO. 03-3497)</t>
  </si>
  <si>
    <t xml:space="preserve">Schmidt v. Commissioner of Social Sec., </t>
  </si>
  <si>
    <t>94 Fed.Appx. 92, 2004 WL 790312, C.A.3 (N.J.), April 14, 2004 (NO. 03-3490)</t>
  </si>
  <si>
    <t xml:space="preserve">Jones v. Barnhart, </t>
  </si>
  <si>
    <t>364 F.3d 501, 2004 WL 794418, 96 Soc.Sec.Rep.Serv. 237, Unempl.Ins.Rep. (CCH) P 17210B, C.A.3 (Pa.), April 14, 2004 (NO. 03-1661)</t>
  </si>
  <si>
    <t xml:space="preserve">U.S. v. Pagley, </t>
  </si>
  <si>
    <t>94 Fed.Appx. 104, 2004 WL 817444, C.A.3 (Pa.), April 14, 2004 (NO. 03-2004)</t>
  </si>
  <si>
    <t xml:space="preserve">Corneal v. Jackson Tp., Huntingdon County, Pennsylvania, </t>
  </si>
  <si>
    <t>94 Fed.Appx. 76, 2004 WL 790315, C.A.3 (Pa.), April 13, 2004 (NO. 03-3587)</t>
  </si>
  <si>
    <t xml:space="preserve">U.S. v. Taylor, </t>
  </si>
  <si>
    <t>94 Fed.Appx. 67, 2004 WL 758691, C.A.3 (Pa.), April 09, 2004 (NO. 03-3993)</t>
  </si>
  <si>
    <t xml:space="preserve">U.S. v. Mora-Zapata, </t>
  </si>
  <si>
    <t>94 Fed.Appx. 63, 2004 WL 758744, C.A.3 (Pa.), April 08, 2004 (NO. 03-3072)</t>
  </si>
  <si>
    <t xml:space="preserve">Jackson v. Egyptian Navigation Co., </t>
  </si>
  <si>
    <t>364 F.3d 113, 2004 WL 736865, 2004 A.M.C. 913, C.A.3 (Pa.), April 07, 2004 (NO. 02-3828)</t>
  </si>
  <si>
    <t xml:space="preserve">Hampe v. Butler, </t>
  </si>
  <si>
    <t>364 F.3d 90, 2004 WL 736871, C.A.3 (Pa.), April 07, 2004 (NO. 03-1438)</t>
  </si>
  <si>
    <t xml:space="preserve">Trimi v. Ashcroft, </t>
  </si>
  <si>
    <t>93 Fed.Appx. 464, 2004 WL 742280, C.A.3, April 07, 2004 (NO. 03-3126, 02-4041)</t>
  </si>
  <si>
    <t xml:space="preserve">U.S. v. Scott, </t>
  </si>
  <si>
    <t>93 Fed.Appx. 476, 2004 WL 751957, C.A.3 (Pa.), April 07, 2004 (NO. 03-2921)</t>
  </si>
  <si>
    <t>94 Fed.Appx. 893, 2004 WL 753543, C.A.3 (Pa.), April 07, 2004 (NO. 01-3410)</t>
  </si>
  <si>
    <t xml:space="preserve">U.S. v. Watson, </t>
  </si>
  <si>
    <t>93 Fed.Appx. 481, 2004 WL 753752, C.A.3 (Pa.), April 07, 2004 (NO. 01-2617)</t>
  </si>
  <si>
    <t>93 Fed.Appx. 488, 2004 WL 753940, C.A.3 (Pa.), April 07, 2004 (NO. 01-3241)</t>
  </si>
  <si>
    <t xml:space="preserve">U.S. v. King, </t>
  </si>
  <si>
    <t>93 Fed.Appx. 490, 2004 WL 754023, C.A.3 (Pa.), April 07, 2004 (NO. 01-3109)</t>
  </si>
  <si>
    <t>363 F.3d 237, 2004 WL 728085, C.A.3 (Del.), April 06, 2004 (NO. 03-1800)</t>
  </si>
  <si>
    <t xml:space="preserve">U.S. v. Boglin, </t>
  </si>
  <si>
    <t>93 Fed.Appx. 447, 2004 WL 729191, C.A.3 (Pa.), April 06, 2004 (NO. 03-3672)</t>
  </si>
  <si>
    <t xml:space="preserve">Breiner v. Litwhiler, </t>
  </si>
  <si>
    <t>98 Fed.Appx. 75, 2004 WL 557335, C.A.3 (Pa.), March 23, 2004 (NO. 03-1543)</t>
  </si>
  <si>
    <t xml:space="preserve">Miller v. Nissan Motor Acceptance Corp., </t>
  </si>
  <si>
    <t>362 F.3d 209, 2004 WL 551142, C.A.3 (Pa.), March 22, 2004 (NO. 02-2432, 02-2573)</t>
  </si>
  <si>
    <t xml:space="preserve">Jones v. Toyota Motor Sales USA, Inc., </t>
  </si>
  <si>
    <t>94 Fed.Appx. 879, 2004 WL 557340, C.A.3, March 22, 2004 (NO. 03-1397)</t>
  </si>
  <si>
    <t xml:space="preserve">Tjandra v. Ashcroft, </t>
  </si>
  <si>
    <t>91 Fed.Appx. 244, 2004 WL 557344, C.A.3, March 22, 2004 (NO. 02-4171)</t>
  </si>
  <si>
    <t xml:space="preserve">Doe v. Groody, </t>
  </si>
  <si>
    <t>361 F.3d 232, 2004 WL 540484, C.A.3 (Pa.), March 19, 2004 (NO. 02-4532)</t>
  </si>
  <si>
    <t xml:space="preserve">Headley v. I.N.S., </t>
  </si>
  <si>
    <t>92 Fed.Appx. 35, 2004 WL 542195, C.A.3 (Pa.), March 19, 2004 (NO. 03-2148)</t>
  </si>
  <si>
    <t>91 Fed.Appx. 790, 2004 WL 542202, C.A.3 (Pa.), March 19, 2004 (NO. 02-4360)</t>
  </si>
  <si>
    <t xml:space="preserve">Williams v. Hilton Group PLC, </t>
  </si>
  <si>
    <t>93 Fed.Appx. 384, 2004 WL 516165, C.A.3 (Pa.), March 17, 2004 (NO. 03-2590)</t>
  </si>
  <si>
    <t xml:space="preserve">U.S. v. Lloyd, </t>
  </si>
  <si>
    <t>361 F.3d 197, 2004 WL 516251, C.A.3 (Pa.), March 17, 2004 (NO. 03-1287)</t>
  </si>
  <si>
    <t xml:space="preserve">Dewyer v. Temple University, </t>
  </si>
  <si>
    <t>89 Fed.Appx. 811, 2004 WL 503839, 186 Ed. Law Rep. 83, 27 NDLR P 260, C.A.3 (Pa.), March 15, 2004 (NO. 03-1495)</t>
  </si>
  <si>
    <t xml:space="preserve">Hay Group, Inc. v. E.B.S. Acquisition Corp., </t>
  </si>
  <si>
    <t>360 F.3d 404, 2004 WL 444888, 21 IER Cases 18, C.A.3 (Pa.), March 12, 2004 (NO. 03-1161, 03-1162)</t>
  </si>
  <si>
    <t xml:space="preserve">Lum v. Bank of America, </t>
  </si>
  <si>
    <t>361 F.3d 217, 2004 WL 485476, 2004-1 Trade Cases P 74,326, RICO Bus.Disp.Guide 10,643, C.A.3 (N.J.), March 11, 2004 (NO. 01-4348)</t>
  </si>
  <si>
    <t xml:space="preserve">Ernst v. Barr, </t>
  </si>
  <si>
    <t>90 Fed.Appx. 670, 2004 WL 434172, C.A.3 (Pa.), March 10, 2004 (NO. 02-4518)</t>
  </si>
  <si>
    <t xml:space="preserve">McCrae v. KLLM Inc., </t>
  </si>
  <si>
    <t>89 Fed.Appx. 361, 2004 WL 434157, C.A.3 (Pa.), March 09, 2004 (NO. 03-1440)</t>
  </si>
  <si>
    <t xml:space="preserve">Crews v. Horn, </t>
  </si>
  <si>
    <t>360 F.3d 146, 2004 WL 395949, C.A.3 (Pa.), March 04, 2004 (NO. 99-9008)</t>
  </si>
  <si>
    <t xml:space="preserve">U.S. v. Terry, </t>
  </si>
  <si>
    <t>100 Fed.Appx. 68, 2004 WL 413236, C.A.3 (Pa.), March 04, 2004 (NO. 03-1825)</t>
  </si>
  <si>
    <t xml:space="preserve">Mei v. Ashcroft, </t>
  </si>
  <si>
    <t>89 Fed.Appx. 340, 2004 WL 377352, C.A.3, March 02, 2004 (NO. 02-4133)</t>
  </si>
  <si>
    <t xml:space="preserve">Jung v. Ashcroft, </t>
  </si>
  <si>
    <t>91 Fed.Appx. 221, 2004 WL 413231, C.A.3, March 02, 2004 (NO. 02-4469)</t>
  </si>
  <si>
    <t xml:space="preserve">Ahmed v. Ashcroft, </t>
  </si>
  <si>
    <t>89 Fed.Appx. 333, 2004 WL 376878, C.A.3, March 01, 2004 (NO. 03-1068)</t>
  </si>
  <si>
    <t xml:space="preserve">Henglein v. Colt Industries Operating Corp. Informal Plan for Plant Shutdown Benefits for Salaried Employees, </t>
  </si>
  <si>
    <t>91 Fed.Appx. 762, 2004 WL 362297, 32 Employee Benefits Cas. 2729, C.A.3 (Pa.), February 26, 2004 (NO. 03-1745, 02-3748)</t>
  </si>
  <si>
    <t xml:space="preserve">U.S. v. Lee, </t>
  </si>
  <si>
    <t>359 F.3d 194, 2004 WL 318614, 93 A.F.T.R.2d 2004-993, 63 Fed. R. Evid. Serv. 781, C.A.3 (N.J.), February 20, 2004 (NO. 01-1629)</t>
  </si>
  <si>
    <t xml:space="preserve">Rill v. Meyers, </t>
  </si>
  <si>
    <t>87 Fed.Appx. 822, 2004 WL 326967, C.A.3 (Pa.), February 20, 2004 (NO. 02-3575)</t>
  </si>
  <si>
    <t xml:space="preserve">Marwood v. Elizabeth Forward School Dist., </t>
  </si>
  <si>
    <t>93 Fed.Appx. 333, 2004 WL 362307, 187 Ed. Law Rep. 38, C.A.3 (Pa.), February 19, 2004 (NO. 02-4599, 02-3273)</t>
  </si>
  <si>
    <t xml:space="preserve">Singletary v. Blaine, </t>
  </si>
  <si>
    <t>89 Fed.Appx. 790, 2004 WL 322570, C.A.3 (Pa.), February 18, 2004 (NO. 03-2339)</t>
  </si>
  <si>
    <t xml:space="preserve">SCM Group, USA, Inc. v. Custom Designs &amp; Mfg. Co., Inc., </t>
  </si>
  <si>
    <t>89 Fed.Appx. 779, 2004 WL 260776, C.A.3 (Pa.), February 13, 2004 (NO. 03-2023)</t>
  </si>
  <si>
    <t xml:space="preserve">U.S. v. Santo, </t>
  </si>
  <si>
    <t>87 Fed.Appx. 818, 2004 WL 288612, C.A.3 (Pa.), February 13, 2004 (NO. 03-1542)</t>
  </si>
  <si>
    <t>88 Fed.Appx. 509, 2004 WL 243504, C.A.3 (Pa.), February 10, 2004 (NO. 03-1661)</t>
  </si>
  <si>
    <t xml:space="preserve">U.S. v. Rivera, </t>
  </si>
  <si>
    <t>357 F.3d 290, 2004 WL 231212, C.A.3 (N.J.), February 09, 2004 (NO. 02-3067)</t>
  </si>
  <si>
    <t xml:space="preserve">Marwood v. Elizabeth Forward School District, </t>
  </si>
  <si>
    <t>91 Fed.Appx. 207, 2004 WL 232768, 186 Ed. Law Rep. 679, C.A.3 (Pa.), February 05, 2004 (NO. 02-4584)</t>
  </si>
  <si>
    <t xml:space="preserve">Allstate Ins. Co. v. Neary, </t>
  </si>
  <si>
    <t>87 Fed.Appx. 280, 2004 WL 234989, C.A.3 (Pa.), February 04, 2004 (NO. 03-2353)</t>
  </si>
  <si>
    <t xml:space="preserve">Jimenez-Mora v. Ashcroft, </t>
  </si>
  <si>
    <t>86 Fed.Appx. 527, 2004 WL 235031, C.A.3, February 03, 2004 (NO. 03-1396)</t>
  </si>
  <si>
    <t xml:space="preserve">Robinson v. Railroad Retirement Bd., </t>
  </si>
  <si>
    <t>87 Fed.Appx. 807, 2004 WL 235051, C.A.3, February 03, 2004 (NO. 03-2391)</t>
  </si>
  <si>
    <t>86 Fed.Appx. 533, 2004 WL 235055, C.A.3 (Pa.), February 03, 2004 (NO. 03-3233)</t>
  </si>
  <si>
    <t xml:space="preserve">Berry v. Klem, </t>
  </si>
  <si>
    <t>86 Fed.Appx. 516, 2004 WL 188098, C.A.3 (Pa.), January 30, 2004 (NO. 03-1584)</t>
  </si>
  <si>
    <t xml:space="preserve">A.H. Meyers &amp; Co. v. CNA Ins. Co., </t>
  </si>
  <si>
    <t>88 Fed.Appx. 495, 2004 WL 180417, C.A.3 (N.J.), January 29, 2004 (NO. 03-2592)</t>
  </si>
  <si>
    <t xml:space="preserve">CGB Occupational Therapy, Inc. v. RHA Health Services Inc., </t>
  </si>
  <si>
    <t>357 F.3d 375, 2004 WL 160435, C.A.3 (Pa.), January 28, 2004 (NO. 02-4372)</t>
  </si>
  <si>
    <t xml:space="preserve">Superior Proside, Inc. v. C.I.R., </t>
  </si>
  <si>
    <t>86 Fed.Appx. 510, 2004 WL 180419, 93 A.F.T.R.2d 2004-647, 2004-1 USTC P 50,146, C.A.3, January 28, 2004 (NO. 03-2755)</t>
  </si>
  <si>
    <t xml:space="preserve">U.S. v. Himler, </t>
  </si>
  <si>
    <t>355 F.3d 735, 2004 WL 103412, C.A.3 (Pa.), January 23, 2004 (NO. 03-1387)</t>
  </si>
  <si>
    <t xml:space="preserve">Lettrich v. J.C. Penney Company, Inc., </t>
  </si>
  <si>
    <t>90 Fed.Appx. 604, 2004 WL 103414, 31 Employee Benefits Cas. 2857, C.A.3 (Pa.), January 22, 2004 (NO. 02-4476)</t>
  </si>
  <si>
    <t xml:space="preserve">Parker v. Port Authority of Allegheny County, </t>
  </si>
  <si>
    <t>90 Fed.Appx. 600, 2004 WL 102506, 27 NDLR P 164, C.A.3 (Pa.), January 21, 2004 (NO. 02-2917)</t>
  </si>
  <si>
    <t xml:space="preserve">Guiddy v. Terhune, </t>
  </si>
  <si>
    <t>90 Fed.Appx. 592, 2004 WL 229228, C.A.3 (N.J.), January 15, 2004 (NO. 02-2254)</t>
  </si>
  <si>
    <t xml:space="preserve">U.S. v. Moore, </t>
  </si>
  <si>
    <t>88 Fed.Appx. 482, 2004 WL 322690, C.A.3 (N.J.), January 15, 2004 (NO. 02-3160)</t>
  </si>
  <si>
    <t xml:space="preserve">Rompilla v. Horn, </t>
  </si>
  <si>
    <t>355 F.3d 233, 2004 WL 66753, C.A.3 (Pa.), January 13, 2004 (NO. 00-9006, 00-9005)</t>
  </si>
  <si>
    <t xml:space="preserve">Livermore v. Barnhart, </t>
  </si>
  <si>
    <t>84 Fed.Appx. 264, 2004 WL 45153, C.A.3 (Pa.), January 09, 2004 (NO. 03-1769)</t>
  </si>
  <si>
    <t xml:space="preserve">Shapiro v. Prudential Ins. Co. of America, </t>
  </si>
  <si>
    <t>86 Fed.Appx. 493, 2004 WL 36221, C.A.3 (N.J.), January 07, 2004 (NO. 02-3805)</t>
  </si>
  <si>
    <t xml:space="preserve">Burns v. J.C. Penney Co., Inc., </t>
  </si>
  <si>
    <t>85 Fed.Appx. 830, 2004 WL 50785, 32 Employee Benefits Cas. 1819, C.A.3 (Pa.), January 07, 2004 (NO. 03-1953, 03-1951, 03-1954, 03-1952, 03-1950)</t>
  </si>
  <si>
    <t xml:space="preserve">Bowser v. Barnhart, </t>
  </si>
  <si>
    <t>84 Fed.Appx. 241, 2004 WL 46624, 93 Soc.Sec.Rep.Serv. 1, C.A.3 (Pa.), January 06, 2004 (NO. 03-1629)</t>
  </si>
  <si>
    <t xml:space="preserve">Feldman v. Community College of Allegheny (CCAC), </t>
  </si>
  <si>
    <t>85 Fed.Appx. 821, 2004 WL 50784, 184 Ed. Law Rep. 736, C.A.3 (Pa.), January 06, 2004 (NO. 00-3355)</t>
  </si>
  <si>
    <t xml:space="preserve">Royer v. Pennsylvania State University, </t>
  </si>
  <si>
    <t>84 Fed.Appx. 226, 2004 WL 25265, C.A.3 (Pa.), January 05, 2004 (NO. 02-3873)</t>
  </si>
  <si>
    <t xml:space="preserve">Parker v. Royal Oak Enterprises, Inc., </t>
  </si>
  <si>
    <t>85 Fed.Appx. 292, 2003 WL 23101851, C.A.3 (Pa.), December 29, 2003 (NO. 03-1494)</t>
  </si>
  <si>
    <t xml:space="preserve">Kunco v. Attorney General of Commonwealth of Pennsylvania, </t>
  </si>
  <si>
    <t>85 Fed.Appx. 819, 2003 WL 23154655, C.A.3 (Pa.), December 29, 2003 (NO. 02-1101)</t>
  </si>
  <si>
    <t>84 Fed.Appx. 197, 2003 WL 23002526, C.A.3, December 23, 2003 (NO. 02-3823)</t>
  </si>
  <si>
    <t xml:space="preserve">Burnett v. Clearfield Hosp., </t>
  </si>
  <si>
    <t>83 Fed.Appx. 489, 2003 WL 22995201, C.A.3 (Pa.), December 22, 2003 (NO. 02-4503)</t>
  </si>
  <si>
    <t xml:space="preserve">Anker Energy Corp. v. Consolidated Coal Co., </t>
  </si>
  <si>
    <t>84 Fed.Appx. 182, 2003 WL 22995204, C.A.3 (Pa.), December 22, 2003 (NO. 03-1590)</t>
  </si>
  <si>
    <t xml:space="preserve">Phifer ex rel. Phifer v. Commissioner of Social Security, </t>
  </si>
  <si>
    <t>84 Fed.Appx. 189, 2003 WL 22995206, C.A.3 (Pa.), December 22, 2003 (NO. 03-1002)</t>
  </si>
  <si>
    <t xml:space="preserve">Dia v. Ashcroft, </t>
  </si>
  <si>
    <t>353 F.3d 228, 2003 WL 22998113, C.A.3, December 22, 2003 (NO. 02-2460)</t>
  </si>
  <si>
    <t xml:space="preserve">Doe v. Goldstein's Deli, </t>
  </si>
  <si>
    <t>82 Fed.Appx. 773, 2003 WL 22998139, C.A.3 (Pa.), December 19, 2003 (NO. 02-1361)</t>
  </si>
  <si>
    <t xml:space="preserve">Johnson v. Gober, </t>
  </si>
  <si>
    <t>83 Fed.Appx. 455, 2003 WL 22967266, C.A.3 (Pa.), December 18, 2003 (NO. 03-1423)</t>
  </si>
  <si>
    <t xml:space="preserve">Gale v. Vaughn, </t>
  </si>
  <si>
    <t>83 Fed.Appx. 472, 2003 WL 22967269, C.A.3 (Pa.), December 18, 2003 (NO. 03-1637)</t>
  </si>
  <si>
    <t xml:space="preserve">McGorrian v. E.M.S.A., </t>
  </si>
  <si>
    <t>85 Fed.Appx. 1, 2003 WL 22967271, C.A.3 (Pa.), December 18, 2003 (NO. 03-1132)</t>
  </si>
  <si>
    <t xml:space="preserve">McCurdy v. Dodd, </t>
  </si>
  <si>
    <t>352 F.3d 820, 2003 WL 22962820, C.A.3 (Pa.), December 17, 2003 (NO. 02-2708)</t>
  </si>
  <si>
    <t xml:space="preserve">Atlantic Mut. Ins. Co. v. Gula, </t>
  </si>
  <si>
    <t>84 Fed.Appx. 173, 2003 WL 22962947, C.A.3 (Pa.), December 17, 2003 (NO. 02-4160)</t>
  </si>
  <si>
    <t xml:space="preserve">Diakite v. Ashcroft, </t>
  </si>
  <si>
    <t>84 Fed.Appx. 180, 2003 WL 22962952, C.A.3, December 17, 2003 (NO. 03-1027)</t>
  </si>
  <si>
    <t xml:space="preserve">Munroe v. Ashcroft, </t>
  </si>
  <si>
    <t>353 F.3d 225, 2003 WL 22953510, C.A.3 (Pa.), December 16, 2003 (NO. 03-1471)</t>
  </si>
  <si>
    <t xml:space="preserve">Gordon v. Gonzalez, </t>
  </si>
  <si>
    <t>84 Fed.Appx. 171, 2003 WL 22931319, C.A.3 (Pa.), December 12, 2003 (NO. 01-3676)</t>
  </si>
  <si>
    <t xml:space="preserve">Conchatta, Inc. v. Evanko, </t>
  </si>
  <si>
    <t>83 Fed.Appx. 437, 2003 WL 22931320, C.A.3 (Pa.), December 12, 2003 (NO. 01-2220)</t>
  </si>
  <si>
    <t xml:space="preserve">Qing Sho Liu v. Ashcroft, </t>
  </si>
  <si>
    <t>84 Fed.Appx. 169, 2003 WL 22931321, C.A.3, December 11, 2003 (NO. 02-3973)</t>
  </si>
  <si>
    <t xml:space="preserve">U.S. v. Martinez-Maciel, </t>
  </si>
  <si>
    <t>85 Fed.Appx. 287, 2003 WL 23173727, C.A.3 (Pa.), December 11, 2003 (NO. 02-4505)</t>
  </si>
  <si>
    <t>83 Fed.Appx. 432, 2003 WL 22904541, C.A.3 (N.J.), December 10, 2003 (NO. 02-4309)</t>
  </si>
  <si>
    <t xml:space="preserve">Norris v. Barnhart, </t>
  </si>
  <si>
    <t>82 Fed.Appx. 285, 2003 WL 22902996, C.A.3 (Pa.), December 09, 2003 (NO. 03-2309)</t>
  </si>
  <si>
    <t xml:space="preserve">Nixon v. Barnhart, </t>
  </si>
  <si>
    <t>85 Fed.Appx. 286, 2003 WL 23173681, 93 Soc.Sec.Rep.Serv. 187, C.A.3 (Pa.), December 09, 2003 (NO. 03-1949)</t>
  </si>
  <si>
    <t xml:space="preserve">Mahramas v. Bristol Hotel Management Corp., </t>
  </si>
  <si>
    <t>82 Fed.Appx. 284, 2003 WL 22883977, C.A.3 (Pa.), December 08, 2003 (NO. 03-1029)</t>
  </si>
  <si>
    <t xml:space="preserve">Tineo v. Ashcroft, </t>
  </si>
  <si>
    <t>350 F.3d 382, 2003 WL 22863043, C.A.3 (N.J.), December 04, 2003 (NO. 02-3636)</t>
  </si>
  <si>
    <t xml:space="preserve">Bramlett v. Vertical Resources, Inc., </t>
  </si>
  <si>
    <t>95 Fed.Appx. 395, 2003 WL 22871885, C.A.3 (Pa.), December 04, 2003 (NO. 03-1383)</t>
  </si>
  <si>
    <t xml:space="preserve">Smith v. English, </t>
  </si>
  <si>
    <t>90 Fed.Appx. 14, 2003 WL 23154861, C.A.3 (Pa.), December 03, 2003 (NO. 02-1386)</t>
  </si>
  <si>
    <t xml:space="preserve">Brand v. Gillis, </t>
  </si>
  <si>
    <t>82 Fed.Appx. 278, 2003 WL 22849858, C.A.3 (Pa.), December 02, 2003 (NO. 02-3494)</t>
  </si>
  <si>
    <t>86 Fed.Appx. 481, 2003 WL 23185661, C.A.3 (Pa.), December 02, 2003 (NO. 02-2923)</t>
  </si>
  <si>
    <t xml:space="preserve">Wilson v. Ashcroft, </t>
  </si>
  <si>
    <t>350 F.3d 377, 2003 WL 22810289, C.A.3 (Pa.), November 26, 2003 (NO. 03-1414)</t>
  </si>
  <si>
    <t xml:space="preserve">Hart v. Pennsylvania Bd. of Probation and Parole, </t>
  </si>
  <si>
    <t>82 Fed.Appx. 276, 2003 WL 22838381, C.A.3 (Pa.), November 25, 2003 (NO. 03-1890)</t>
  </si>
  <si>
    <t xml:space="preserve">Thompson v. General Elec. Co., </t>
  </si>
  <si>
    <t>81 Fed.Appx. 415, 2003 WL 22838137, 27 NDLR P 54, C.A.3 (Pa.), November 24, 2003 (NO. 02-3892)</t>
  </si>
  <si>
    <t>350 F.3d 348, 2003 WL 22725400, C.A.3 (N.J.), November 20, 2003 (NO. 02-2371, 02-3250)</t>
  </si>
  <si>
    <t xml:space="preserve">U.S. v. Schofield, </t>
  </si>
  <si>
    <t>80 Fed.Appx. 798, 2003 WL 22725529, C.A.3 (Pa.), November 20, 2003 (NO. 03-1175)</t>
  </si>
  <si>
    <t xml:space="preserve">Brown v. Philadelphia Housing Authority, </t>
  </si>
  <si>
    <t>350 F.3d 338, 2003 WL 22725404, 57 Fed.R.Serv.3d 21, C.A.3 (Pa.), November 19, 2003 (NO. 03-1061)</t>
  </si>
  <si>
    <t xml:space="preserve">Mulanga v. Ashcroft, </t>
  </si>
  <si>
    <t>349 F.3d 123, 2003 WL 22683042, C.A.3, November 14, 2003 (NO. 02-3332)</t>
  </si>
  <si>
    <t xml:space="preserve">In re Pillowtex, Inc., </t>
  </si>
  <si>
    <t>349 F.3d 711, 2003 WL 22683081, 42 Bankr.Ct.Dec. 45, 52 UCC Rep.Serv.2d 18, C.A.3 (Del.), November 14, 2003 (NO. 02-2674)</t>
  </si>
  <si>
    <t xml:space="preserve">Reardon v. Hendricks, </t>
  </si>
  <si>
    <t>82 Fed.Appx. 273, 2003 WL 22697286, C.A.3 (N.J.), November 13, 2003 (NO. 02-3225)</t>
  </si>
  <si>
    <t xml:space="preserve">U.S. v. Phillips, </t>
  </si>
  <si>
    <t>349 F.3d 138, 2003 WL 22664506, C.A.3 (Pa.), November 12, 2003 (NO. 01-3515, 01-3523, 01-3823, 02-1500)</t>
  </si>
  <si>
    <t xml:space="preserve">Riddle v. Barnhart, </t>
  </si>
  <si>
    <t>80 Fed.Appx. 755, 2003 WL 22664591, 92 Soc.Sec.Rep.Serv. 13, C.A.3 (Pa.), November 12, 2003 (NO. 03-2436)</t>
  </si>
  <si>
    <t xml:space="preserve">Smith v. Commissioner of Social Sec., </t>
  </si>
  <si>
    <t>80 Fed.Appx. 268, 2003 WL 22594404, C.A.3 (Pa.), November 07, 2003 (NO. 03-1266)</t>
  </si>
  <si>
    <t xml:space="preserve">Schomer v. Commissioner of Social Sec., </t>
  </si>
  <si>
    <t>80 Fed.Appx. 242, 2003 WL 22508472, C.A.3 (Pa.), November 05, 2003 (NO. 03-1643)</t>
  </si>
  <si>
    <t xml:space="preserve">Miller v. Berry Metal Co., </t>
  </si>
  <si>
    <t>80 Fed.Appx. 245, 2003 WL 22508475, C.A.3 (Pa.), November 05, 2003 (NO. 03-1333)</t>
  </si>
  <si>
    <t xml:space="preserve">Winters ex rel. Meinert v. Barnhart, </t>
  </si>
  <si>
    <t>80 Fed.Appx. 249, 2003 WL 22508485, C.A.3 (Pa.), November 05, 2003 (NO. 03-1246)</t>
  </si>
  <si>
    <t>80 Fed.Appx. 253, 2003 WL 22508494, C.A.3 (Pa.), November 05, 2003 (NO. 03-1385)</t>
  </si>
  <si>
    <t xml:space="preserve">Neiderlander v. American Video Glass Co., </t>
  </si>
  <si>
    <t>80 Fed.Appx. 256, 2003 WL 22508495, C.A.3 (Pa.), November 05, 2003 (NO. 03-1288)</t>
  </si>
  <si>
    <t xml:space="preserve">Lewis v. Pinchak, </t>
  </si>
  <si>
    <t>348 F.3d 355, 2003 WL 22475553, C.A.3 (N.J.), November 04, 2003 (NO. 00-2425)</t>
  </si>
  <si>
    <t xml:space="preserve">U.S. v. White, </t>
  </si>
  <si>
    <t>80 Fed.Appx. 230, 2003 WL 22490364, C.A.3 (Pa.), November 04, 2003 (NO. 03-2012)</t>
  </si>
  <si>
    <t xml:space="preserve">Penman v. Commissioner of Social Sec., </t>
  </si>
  <si>
    <t>80 Fed.Appx. 241, 2003 WL 22490395, C.A.3 (Pa.), November 04, 2003 (NO. 03-1500)</t>
  </si>
  <si>
    <t xml:space="preserve">Fearbry v. Barnhart, </t>
  </si>
  <si>
    <t>79 Fed.Appx. 535, 2003 WL 22475832, C.A.3 (Pa.), November 03, 2003 (NO. 03-1774)</t>
  </si>
  <si>
    <t xml:space="preserve">Hoechstetter v. City of Pittsburgh, </t>
  </si>
  <si>
    <t>79 Fed.Appx. 537, 2003 WL 22475834, C.A.3 (Pa.), November 03, 2003 (NO. 03-1854)</t>
  </si>
  <si>
    <t xml:space="preserve">Araya v. Ashcroft, </t>
  </si>
  <si>
    <t>79 Fed.Appx. 540, 2003 WL 22475835, C.A.3, November 03, 2003 (NO. 02-3296)</t>
  </si>
  <si>
    <t xml:space="preserve">In re Federal Mogul-Global, Inc., </t>
  </si>
  <si>
    <t>348 F.3d 390, 2003 WL 22479621, 42 Bankr.Ct.Dec. 34, C.A.3 (Del.), October 31, 2003 (NO. 02-4166)</t>
  </si>
  <si>
    <t xml:space="preserve">Covanta Energy Group, Inc. v. Sarkar, </t>
  </si>
  <si>
    <t>80 Fed.Appx. 221, 2003 WL 22661312, C.A.3 (N.J.), October 31, 2003 (NO. 02-2520)</t>
  </si>
  <si>
    <t xml:space="preserve">Howard v. New Jersey Transit Rail Operations, Inc., </t>
  </si>
  <si>
    <t>78 Fed.Appx. 842, 2003 WL 22455415, C.A.3 (N.J.), October 29, 2003 (NO. 02-2358)</t>
  </si>
  <si>
    <t>78 Fed.Appx. 818, 2003 WL 22436039, C.A.3 (N.J.), October 28, 2003 (NO. 02-3805)</t>
  </si>
  <si>
    <t xml:space="preserve">Morris v. Barnhart, </t>
  </si>
  <si>
    <t>78 Fed.Appx. 820, 2003 WL 22436040, 91 Soc.Sec.Rep.Serv. 220, C.A.3 (Pa.), October 28, 2003 (NO. 03-1332)</t>
  </si>
  <si>
    <t xml:space="preserve">Perkins v. Barnhart, </t>
  </si>
  <si>
    <t>79 Fed.Appx. 512, 2003 WL 22436061, 91 Soc.Sec.Rep.Serv. 231, C.A.3 (Pa.), October 28, 2003 (NO. 03-1612)</t>
  </si>
  <si>
    <t xml:space="preserve">Citisteel USA, Inc. v. General Elec. Co., </t>
  </si>
  <si>
    <t>78 Fed.Appx. 832, 2003 WL 22455408, C.A.3 (Del.), October 28, 2003 (NO. 03-1197)</t>
  </si>
  <si>
    <t xml:space="preserve">U.S. v. Thornhill, </t>
  </si>
  <si>
    <t>80 Fed.Appx. 187, 2003 WL 22595942, C.A.3 (Pa.), October 20, 2003 (NO. 03-2725)</t>
  </si>
  <si>
    <t xml:space="preserve">U.S. v. Hawkins, </t>
  </si>
  <si>
    <t>78 Fed.Appx. 193, 2003 WL 22366800, C.A.3 (Pa.), October 17, 2003 (NO. 02-1672)</t>
  </si>
  <si>
    <t xml:space="preserve">Koorn v. Lacey Tp., </t>
  </si>
  <si>
    <t>78 Fed.Appx. 199, 2003 WL 22366923, C.A.3 (N.J.), October 17, 2003 (NO. 03-1231)</t>
  </si>
  <si>
    <t xml:space="preserve">U.S. v. Boyer, </t>
  </si>
  <si>
    <t>78 Fed.Appx. 191, 2003 WL 22359194, C.A.3 (Del.), October 16, 2003 (NO. 02-4291)</t>
  </si>
  <si>
    <t xml:space="preserve">Fouch v. Barnhart, </t>
  </si>
  <si>
    <t>80 Fed.Appx. 181, 2003 WL 22596015, C.A.3 (Pa.), October 16, 2003 (NO. 03-1180)</t>
  </si>
  <si>
    <t xml:space="preserve">Roche v. New Jersey Mfrs. Ins. Co., </t>
  </si>
  <si>
    <t>78 Fed.Appx. 183, 2003 WL 22349034, C.A.3 (Pa.), October 15, 2003 (NO. 02-4353)</t>
  </si>
  <si>
    <t xml:space="preserve">Paputchi v. Ashcroft, </t>
  </si>
  <si>
    <t>77 Fed.Appx. 600, 2003 WL 22324900, C.A.3, October 10, 2003 (NO. 02-3617)</t>
  </si>
  <si>
    <t xml:space="preserve">Locklear v. Remington, </t>
  </si>
  <si>
    <t>77 Fed.Appx. 594, 2003 WL 22293211, C.A.3 (Del.), October 07, 2003 (NO. 03-2409)</t>
  </si>
  <si>
    <t xml:space="preserve">National Abortion Federation v. Ashcroft, </t>
  </si>
  <si>
    <t>330 F.Supp.2d 436, 2004 WL 1906165, S.D.N.Y., August 26, 2004 (NO. 03 CIV. 8695(RCC))</t>
  </si>
  <si>
    <t xml:space="preserve">Reproductive Health Services of Planned Parenthood of St.Louis Region, Inc. v. Nixon, </t>
  </si>
  <si>
    <t>325 F.Supp.2d 991, 2004 WL 1607695, W.D.Mo., July 09, 2004 (NO. 99-04231-CV-C-SOW)</t>
  </si>
  <si>
    <t>Not Reported in F.Supp.2d, 2004 WL 540470, S.D.N.Y., March 17, 2004 (NO. 03 CIV.8695(RCC))</t>
  </si>
  <si>
    <t xml:space="preserve">In re Mottilla, </t>
  </si>
  <si>
    <t>306 B.R. 782, 2004 WL 595029, Bkrtcy.M.D.Pa., March 08, 2004 (NO. 1-03-04304)</t>
  </si>
  <si>
    <t xml:space="preserve">Miller v. Quincy Mut. Fire Ins. Co., </t>
  </si>
  <si>
    <t>Not Reported in F.Supp.2d, 2003 WL 23469293, E.D.Pa., December 04, 2003 (NO. CIV.A. 03-1328)</t>
  </si>
  <si>
    <t xml:space="preserve">American Marine Rail NJ, LLC v. City of Bayonne, </t>
  </si>
  <si>
    <t>289 F.Supp.2d 569, 2003 WL 22520393, D.N.J., November 06, 2003 (NO. CIV.A.99-4968 WJM)</t>
  </si>
  <si>
    <t>notes</t>
  </si>
  <si>
    <t xml:space="preserve">Forbes v. Township of Lower Merion, </t>
  </si>
  <si>
    <t>76 Fed.Appx. 475, 2003 WL 22245656, C.A.3 (Pa.), October 01, 2003 (NO. 01-3942)</t>
  </si>
  <si>
    <t>312 F.3d 597, 2002 WL 31740585, C.A.3 (Pa.), December 04, 2002 (NO. 02-1173)</t>
  </si>
  <si>
    <t>MU</t>
  </si>
  <si>
    <t xml:space="preserve">McCabe v. City of Philadelphia, </t>
  </si>
  <si>
    <t>76 Fed.Appx. 464, 2003 WL 22234879, C.A.3 (Pa.), September 30, 2003 (NO. 02-4498)</t>
  </si>
  <si>
    <t xml:space="preserve">U.S. v. Mapp, </t>
  </si>
  <si>
    <t>75 Fed.Appx. 899, 2003 WL 22245650, C.A.3 (Pa.), September 30, 2003 (NO. 01-3614)</t>
  </si>
  <si>
    <t xml:space="preserve">Wong v. Ashcroft, </t>
  </si>
  <si>
    <t>76 Fed.Appx. 446, 2003 WL 22234874, C.A.3, September 29, 2003 (NO. 02-4375)</t>
  </si>
  <si>
    <t xml:space="preserve">U.S. v. Warren, </t>
  </si>
  <si>
    <t>76 Fed.Appx. 432, 2003 WL 22221362, C.A.3 (Del.), September 26, 2003 (NO. 02-3825)</t>
  </si>
  <si>
    <t xml:space="preserve">Williams v. Price, </t>
  </si>
  <si>
    <t>343 F.3d 223, 2003 WL 22078807, C.A.3 (Pa.), September 09, 2003 (NO. 00-2305)</t>
  </si>
  <si>
    <t>73 Fed.Appx. 535, 2003 WL 22002679, C.A.3 (Pa.), August 25, 2003 (NO. 02-3407)</t>
  </si>
  <si>
    <t xml:space="preserve">Hray v. Ashcroft, </t>
  </si>
  <si>
    <t>74 Fed.Appx. 167, 2003 WL 21999446, C.A.3, August 22, 2003 (NO. 02-3209)</t>
  </si>
  <si>
    <t xml:space="preserve">Lazorko v. Pennsylvania Hosp., </t>
  </si>
  <si>
    <t>71 Fed.Appx. 956, 2003 WL 21990002, C.A.3 (Pa.), August 21, 2003 (NO. 02-3692)</t>
  </si>
  <si>
    <t xml:space="preserve">Acosta v. Ashcroft, </t>
  </si>
  <si>
    <t>341 F.3d 218, 2003 WL 21957666, C.A.3, August 15, 2003 (NO. 01-2316)</t>
  </si>
  <si>
    <t xml:space="preserve">In re Hechinger Inv. Co. of Delaware, Inc., </t>
  </si>
  <si>
    <t>335 F.3d 243, 2003 WL 21674961, 41 Bankr.Ct.Dec. 162, Bankr. L. Rep. P 78,886, C.A.3 (Del.), July 18, 2003 (NO. 02-1917)</t>
  </si>
  <si>
    <t xml:space="preserve">U.S. v. LaCroix, </t>
  </si>
  <si>
    <t>69 Fed.Appx. 566, 2003 WL 21675347, C.A.3 (N.J.), July 17, 2003 (NO. 02-3490)</t>
  </si>
  <si>
    <t xml:space="preserve">U.S. v. Francis, </t>
  </si>
  <si>
    <t>71 Fed.Appx. 901, 2003 WL 21853165, C.A.3 (N.J.), July 16, 2003 (NO. 02-2581)</t>
  </si>
  <si>
    <t xml:space="preserve">Artz v. Barnhart, </t>
  </si>
  <si>
    <t>330 F.3d 170, 2003 WL 21234914, 88 Soc.Sec.Rep.Serv. 1, Unempl.Ins.Rep. (CCH) P 17025B, C.A.3 (N.J.), May 30, 2003 (NO. 02-3882)</t>
  </si>
  <si>
    <t xml:space="preserve">Desi's Pizza, Inc. v. City of Wilkes-Barre, </t>
  </si>
  <si>
    <t>321 F.3d 411, 2003 WL 757016, C.A.3 (Pa.), March 06, 2003 (NO. 02-1441)</t>
  </si>
  <si>
    <t>319 F.3d 640, 2003 WL 294409, C.A.3 (Virgin Islands), February 12, 2003 (NO. 02-2288)</t>
  </si>
  <si>
    <t xml:space="preserve">United Artists Theatre Circuit, Inc. v. Township of Warrington, PA, </t>
  </si>
  <si>
    <t>316 F.3d 392, 2003 WL 115585, C.A.3 (Pa.), January 14, 2003 (NO. 01-3533)</t>
  </si>
  <si>
    <t>313 F.3d 144, 2002 WL 31761465, C.A.3 (Pa.), December 11, 2002 (NO. 01-3942)</t>
  </si>
  <si>
    <t xml:space="preserve">Romero v. SmithKline Beecham, </t>
  </si>
  <si>
    <t>309 F.3d 113, 2002 WL 31424530, 29 Employee Benefits Cas. 1289, C.A.3 (N.J.), October 30, 2002 (NO. 01-3273)</t>
  </si>
  <si>
    <t xml:space="preserve">Masda Corp. v. Empire Comfort Systems, Inc., </t>
  </si>
  <si>
    <t>69 Fed.Appx. 85, 2003 WL 21467237, C.A.3 (N.J.), June 24, 2003 (NO. 02-3062)</t>
  </si>
  <si>
    <t xml:space="preserve">U.S. v. Carstarphen, </t>
  </si>
  <si>
    <t>65 Fed.Appx. 424, 2003 WL 21290883, C.A.3 (N.J.), June 05, 2003 (NO. 02-2593)</t>
  </si>
  <si>
    <t xml:space="preserve">United Artists Theatre Co. v. Walton, </t>
  </si>
  <si>
    <t>315 F.3d 217, 2003 WL 68020, 49 Collier Bankr.Cas.2d 1434, 40 Bankr.Ct.Dec. 182, Bankr. L. Rep. P 78,777, C.A.3 (Del.), January 09, 2003 (NO. 01-1351)</t>
  </si>
  <si>
    <t xml:space="preserve">China Minmetals Materials Import and Export Co., Ltd. v. Chi Mei Corp., </t>
  </si>
  <si>
    <t>334 F.3d 274, 2003 WL 21468500, C.A.3 (N.J.), June 26, 2003 (NO. 02-2897, 02-3542)</t>
  </si>
  <si>
    <t xml:space="preserve">Miller v. Ashcroft, </t>
  </si>
  <si>
    <t>76 Fed.Appx. 457, 2003 WL 22234872, C.A.3 (Pa.), September 30, 2003 (NO. 02-4028)</t>
  </si>
  <si>
    <t>75 Fed.Appx. 900, 2003 WL 22245654, C.A.3 (Pa.), September 30, 2003 (NO. 02-3906)</t>
  </si>
  <si>
    <t xml:space="preserve">U.S. v. Rines, </t>
  </si>
  <si>
    <t>77 Fed.Appx. 109, 2003 WL 22287410, C.A.3 (Pa.), September 30, 2003 (NO. 02-4106, 02-4107)</t>
  </si>
  <si>
    <t>80 Fed.Appx. 160, 2003 WL 22327190, C.A.3 (Pa.), September 30, 2003 (NO. 00-2218)</t>
  </si>
  <si>
    <t xml:space="preserve">Bullock v. Federal Express Newark Hub, </t>
  </si>
  <si>
    <t>75 Fed.Appx. 898, 2003 WL 22229445, C.A.3 (N.J.), September 29, 2003 (NO. 02-2895)</t>
  </si>
  <si>
    <t xml:space="preserve">In re Simone, </t>
  </si>
  <si>
    <t>76 Fed.Appx. 441, 2003 WL 22229446, C.A.3 (N.J.), September 29, 2003 (NO. 02-3274)</t>
  </si>
  <si>
    <t xml:space="preserve">U.S. v. Kittoe, </t>
  </si>
  <si>
    <t>76 Fed.Appx. 430, 2003 WL 22221361, C.A.3 (N.J.), September 26, 2003 (NO. 02-3556)</t>
  </si>
  <si>
    <t xml:space="preserve">Connell v. Merck and Co., Inc., </t>
  </si>
  <si>
    <t>76 Fed.Appx. 438, 2003 WL 22221363, C.A.3 (N.J.), September 26, 2003 (NO. 03-1136)</t>
  </si>
  <si>
    <t>75 Fed.Appx. 894, 2003 WL 22221364, C.A.3 (Pa.), September 26, 2003 (NO. 03-1485)</t>
  </si>
  <si>
    <t xml:space="preserve">U.S. v. Molina, </t>
  </si>
  <si>
    <t>75 Fed.Appx. 111, 2003 WL 22214141, C.A.3 (N.J.), September 25, 2003 (NO. 03-1704)</t>
  </si>
  <si>
    <t xml:space="preserve">Sinatra v. Commissioner of Social Sec., </t>
  </si>
  <si>
    <t>77 Fed.Appx. 578, 2003 WL 22325512, C.A.3 (N.J.), September 18, 2003 (NO. 02-3503)</t>
  </si>
  <si>
    <t xml:space="preserve">U.S. v. Merced, </t>
  </si>
  <si>
    <t>75 Fed.Appx. 98, 2003 WL 22135595, C.A.3 (N.J.), September 16, 2003 (NO. 02-3896)</t>
  </si>
  <si>
    <t xml:space="preserve">Worldcom, Inc. v. Graphnet, Inc., </t>
  </si>
  <si>
    <t>343 F.3d 651, 2003 WL 22113965, 30 Communications Reg. (P&amp;F) 371, C.A.3 (N.J.), September 12, 2003 (NO. 02-4256)</t>
  </si>
  <si>
    <t xml:space="preserve">U.S. v. D'Ambrosia, </t>
  </si>
  <si>
    <t>75 Fed.Appx. 82, 2003 WL 22100846, C.A.3 (N.J.), September 11, 2003 (NO. 02-2944)</t>
  </si>
  <si>
    <t xml:space="preserve">Matos v. Commissioner of Social Sec., </t>
  </si>
  <si>
    <t>74 Fed.Appx. 235, 2003 WL 22100847, 90 Soc.Sec.Rep.Serv. 244, C.A.3 (N.J.), September 11, 2003 (NO. 02-3387)</t>
  </si>
  <si>
    <t xml:space="preserve">Khan v. Wood, </t>
  </si>
  <si>
    <t>77 Fed.Appx. 86, 2003 WL 22326512, C.A.3 (Pa.), September 11, 2003 (NO. 02-4216)</t>
  </si>
  <si>
    <t xml:space="preserve">Benjamin v. E.I. Du Pont De Nemours and Co., </t>
  </si>
  <si>
    <t>75 Fed.Appx. 65, 2003 WL 22069767, C.A.3 (Del.), September 05, 2003 (NO. 02-4167)</t>
  </si>
  <si>
    <t>342 F.3d 296, 2003 WL 22053967, 62 Fed. R. Evid. Serv. 479, C.A.3 (N.J.), September 04, 2003 (NO. 02-3679)</t>
  </si>
  <si>
    <t xml:space="preserve">U.S. v. Rubashkin, </t>
  </si>
  <si>
    <t>74 Fed.Appx. 192, 2003 WL 22047998, C.A.3 (Pa.), August 29, 2003 (NO. 02-4180)</t>
  </si>
  <si>
    <t xml:space="preserve">Roberts v. Fleet Bank (R.I.), </t>
  </si>
  <si>
    <t>342 F.3d 260, 2003 WL 22017310, C.A.3 (Pa.), August 27, 2003 (NO. 01-4420)</t>
  </si>
  <si>
    <t xml:space="preserve">U.S. v. Roberts, </t>
  </si>
  <si>
    <t>77 Fed.Appx. 561, 2003 WL 22121001, C.A.3 (Pa.), August 22, 2003 (NO. 03-1107)</t>
  </si>
  <si>
    <t xml:space="preserve">Seiler v. American Intern. Ins. Co., </t>
  </si>
  <si>
    <t>71 Fed.Appx. 951, 2003 WL 21989999, C.A.3 (Pa.), August 21, 2003 (NO. 01-2156)</t>
  </si>
  <si>
    <t xml:space="preserve">Shah v. Ashcroft, </t>
  </si>
  <si>
    <t>72 Fed.Appx. 875, 2003 WL 21960986, C.A.3, August 18, 2003 (NO. 02-3440)</t>
  </si>
  <si>
    <t xml:space="preserve">In re BCI Pancake House Inc., </t>
  </si>
  <si>
    <t>71 Fed.Appx. 174, 2003 WL 21961001, C.A.3 (Del.), August 18, 2003 (NO. 02-3131, 02-3130)</t>
  </si>
  <si>
    <t xml:space="preserve">U.S. v. Jackson, </t>
  </si>
  <si>
    <t>71 Fed.Appx. 162, 2003 WL 21872394, C.A.3 (N.J.), August 08, 2003 (NO. 02-3895)</t>
  </si>
  <si>
    <t xml:space="preserve">Carroll v. United Parcel Service, Inc., </t>
  </si>
  <si>
    <t>71 Fed.Appx. 949, 2003 WL 21831937, C.A.3 (Pa.), August 06, 2003 (NO. 02-4306)</t>
  </si>
  <si>
    <t xml:space="preserve">Hartman v. Greenwich Walk Homeowners' Ass'n, Inc., </t>
  </si>
  <si>
    <t>71 Fed.Appx. 135, 2003 WL 21783758, C.A.3 (Pa.), August 04, 2003 (NO. 02-4067)</t>
  </si>
  <si>
    <t>70 Fed.Appx. 652, 2003 WL 21754979, C.A.3, July 30, 2003 (NO. 02-4302)</t>
  </si>
  <si>
    <t xml:space="preserve">Bechtel v. Virtue, </t>
  </si>
  <si>
    <t>71 Fed.Appx. 130, 2003 WL 21853364, C.A.3 (Pa.), July 30, 2003 (NO. 02-3195)</t>
  </si>
  <si>
    <t xml:space="preserve">Krystal Cadillac-Oldsmobile GMC Truck, Inc. v. General Motors Corp., </t>
  </si>
  <si>
    <t>337 F.3d 314, 2003 WL 21731751, 50 Collier Bankr.Cas.2d 1211, 41 Bankr.Ct.Dec. 183, Bankr. L. Rep. P 78,900, C.A.3 (Pa.), July 28, 2003 (NO. 01-2952)</t>
  </si>
  <si>
    <t xml:space="preserve">Briones v. Bon Secours Health System, </t>
  </si>
  <si>
    <t>69 Fed.Appx. 530, 2003 WL 21467224, C.A.3 (N.J.), June 25, 2003 (NO. 02-3504)</t>
  </si>
  <si>
    <t xml:space="preserve">U.S. v. Patterson, </t>
  </si>
  <si>
    <t>68 Fed.Appx. 351, 2003 WL 21467246, C.A.3 (N.J.), June 23, 2003 (NO. 02-3293)</t>
  </si>
  <si>
    <t xml:space="preserve">Ballardo v. Barnhart, </t>
  </si>
  <si>
    <t>68 Fed.Appx. 337, 2003 WL 21467240, C.A.3 (N.J.), June 20, 2003 (NO. 02-4124)</t>
  </si>
  <si>
    <t xml:space="preserve">U.S. v. Fletcher, </t>
  </si>
  <si>
    <t>68 Fed.Appx. 342, 2003 WL 21500333, C.A.3 (N.J.), June 20, 2003 (NO. 02-2846)</t>
  </si>
  <si>
    <t xml:space="preserve">Government of Virgin Islands v. Rivera, </t>
  </si>
  <si>
    <t>333 F.3d 143, 2003 WL 21398811, C.A.3 (Virgin Islands), June 18, 2003 (NO. 02-1457)</t>
  </si>
  <si>
    <t xml:space="preserve">U.S. v. Jenkins, </t>
  </si>
  <si>
    <t>333 F.3d 151, 2003 WL 21398812, C.A.3 (Pa.), June 18, 2003 (NO. 01-1722)</t>
  </si>
  <si>
    <t xml:space="preserve">U.S. v. Amankwah, </t>
  </si>
  <si>
    <t>69 Fed.Appx. 83, 2003 WL 21386264, C.A.3 (N.J.), June 17, 2003 (NO. 02-3476)</t>
  </si>
  <si>
    <t xml:space="preserve">U.S. v. Cashwell, </t>
  </si>
  <si>
    <t>66 Fed.Appx. 441, 2003 WL 21347265, C.A.3 (N.J.), June 10, 2003 (NO. 02-3459)</t>
  </si>
  <si>
    <t xml:space="preserve">Beasich v. Commissioner of Social Security, </t>
  </si>
  <si>
    <t>66 Fed.Appx. 419, 2003 WL 21299604, C.A.3 (N.J.), June 06, 2003 (NO. 02-3627)</t>
  </si>
  <si>
    <t xml:space="preserve">Official Committee of Unsecured Creditors of Cybergenics Corp. ex rel. Cybergenics Corp. v. Chinery, </t>
  </si>
  <si>
    <t>330 F.3d 548, 2003 WL 21231913, 41 Bankr.Ct.Dec. 98, Bankr. L. Rep. P 78,861, C.A.3 (N.J.), May 29, 2003 (NO. 01-3805)</t>
  </si>
  <si>
    <t xml:space="preserve">Shire US Inc. v. Barr Laboratories, Inc., </t>
  </si>
  <si>
    <t>329 F.3d 348, 2003 WL 21205385, 66 U.S.P.Q.2d 1837, C.A.3 (N.J.), May 23, 2003 (NO. 02-3647)</t>
  </si>
  <si>
    <t xml:space="preserve">Delvoye v. Lee, </t>
  </si>
  <si>
    <t>329 F.3d 330, 2003 WL 21152533, C.A.3 (N.J.), May 20, 2003 (NO. 02-3943)</t>
  </si>
  <si>
    <t xml:space="preserve">Return On Equity Group, Inc. v. MPM Technologies, Inc., </t>
  </si>
  <si>
    <t>66 Fed.Appx. 400, 2003 WL 21152953, C.A.3 (N.J.), May 20, 2003 (NO. 02-3374)</t>
  </si>
  <si>
    <t xml:space="preserve">Kirk v. Commissioner of Social Sec., </t>
  </si>
  <si>
    <t>65 Fed.Appx. 842, 2003 WL 21076903, C.A.3 (N.J.), May 12, 2003 (NO. 02-3623)</t>
  </si>
  <si>
    <t xml:space="preserve">Grazier ex rel. White v. City of Philadelphia, </t>
  </si>
  <si>
    <t>328 F.3d 120, 2003 WL 21040289, C.A.3 (Pa.), May 09, 2003 (NO. 01-3284)</t>
  </si>
  <si>
    <t xml:space="preserve">Swinehart v. McAndrews, </t>
  </si>
  <si>
    <t>69 Fed.Appx. 60, 2003 WL 21357242, C.A.3 (Pa.), May 02, 2003 (NO. 02-3515)</t>
  </si>
  <si>
    <t xml:space="preserve">In re CellNet Data Systems, Inc., </t>
  </si>
  <si>
    <t>327 F.3d 242, 2003 WL 1983835, 50 Collier Bankr.Cas.2d 27, 41 Bankr.Ct.Dec. 72, Bankr. L. Rep. P 78,842, 66 U.S.P.Q.2d 1667, C.A.3 (Del.), April 30, 2003 (NO. 02-2546)</t>
  </si>
  <si>
    <t xml:space="preserve">Persico v. City of Jersey City, </t>
  </si>
  <si>
    <t>67 Fed.Appx. 669, 2003 WL 1973157, C.A.3 (N.J.), April 29, 2003 (NO. 02-3061)</t>
  </si>
  <si>
    <t xml:space="preserve">Okonkwo v. I.N.S., </t>
  </si>
  <si>
    <t>69 Fed.Appx. 57, 2003 WL 1979307, C.A.3 (Pa.), April 29, 2003 (NO. 02-3519)</t>
  </si>
  <si>
    <t>63 Fed.Appx. 620, 2003 WL 1972641, C.A.3 (Pa.), April 28, 2003 (NO. 02-2541)</t>
  </si>
  <si>
    <t xml:space="preserve">U.S. v. Hilliard, </t>
  </si>
  <si>
    <t>63 Fed.Appx. 622, 2003 WL 1972806, C.A.3 (N.J.), April 28, 2003 (NO. 02-2784)</t>
  </si>
  <si>
    <t xml:space="preserve">Do Little Corp. v. Township of Bristol a/k/a Bristol Township, </t>
  </si>
  <si>
    <t>65 Fed.Appx. 825, 2003 WL 1950049, C.A.3 (Pa.), April 25, 2003 (NO. 02-2971, 02-3008)</t>
  </si>
  <si>
    <t xml:space="preserve">He v. Ashcroft, </t>
  </si>
  <si>
    <t>66 Fed.Appx. 335, 2003 WL 1950050, C.A.3, April 25, 2003 (NO. 02-3057)</t>
  </si>
  <si>
    <t xml:space="preserve">U.S. v. Forrest, </t>
  </si>
  <si>
    <t>66 Fed.Appx. 333, 2003 WL 1919363, C.A.3 (Pa.), April 23, 2003 (NO. 02-2860)</t>
  </si>
  <si>
    <t xml:space="preserve">Ahern v. Commissioner of Social Sec., </t>
  </si>
  <si>
    <t>65 Fed.Appx. 403, 2003 WL 1919366, C.A.3 (N.J.), April 23, 2003 (NO. 02-4239)</t>
  </si>
  <si>
    <t xml:space="preserve">U.S. v. Salawu, </t>
  </si>
  <si>
    <t>67 Fed.Appx. 665, 2003 WL 1924694, C.A.3 (Del.), April 23, 2003 (NO. 02-2458)</t>
  </si>
  <si>
    <t xml:space="preserve">U.S. v. Pollard, </t>
  </si>
  <si>
    <t>326 F.3d 397, 2003 WL 1889501, C.A.3 (Virgin Islands), April 17, 2003 (NO. 02-3018)</t>
  </si>
  <si>
    <t xml:space="preserve">U.S. v. Martin, </t>
  </si>
  <si>
    <t>69 Fed.Appx. 46, 2003 WL 1879218, C.A.3 (Pa.), April 16, 2003 (NO. 02-1435)</t>
  </si>
  <si>
    <t xml:space="preserve">Del Valle v. Ward, </t>
  </si>
  <si>
    <t>67 Fed.Appx. 664, 2003 WL 1870966, C.A.3 (Pa.), April 14, 2003 (NO. 00-2471)</t>
  </si>
  <si>
    <t xml:space="preserve">Central Dauphin School Dist. v. Rashawn S. ex rel. Kendra S., </t>
  </si>
  <si>
    <t>65 Fed.Appx. 394, 2003 WL 1879216, C.A.3 (Pa.), April 14, 2003 (NO. 00-2689, 00-2912, 00-2601)</t>
  </si>
  <si>
    <t xml:space="preserve">In re Tutu Water Wells CERCLA Litigation, </t>
  </si>
  <si>
    <t>326 F.3d 201, 2003 WL 1826653, 33 Envtl. L. Rep. 20,169, C.A.3 (Virgin Islands), April 08, 2003 (NO. 01-4176, 01-4204)</t>
  </si>
  <si>
    <t xml:space="preserve">U.S. v. Cordo, </t>
  </si>
  <si>
    <t>324 F.3d 223, 2003 WL 1787935, C.A.3 (Pa.), April 04, 2003 (NO. 01-2392)</t>
  </si>
  <si>
    <t xml:space="preserve">U.S. v. Stackpole, </t>
  </si>
  <si>
    <t>64 Fed.Appx. 842, 2003 WL 1785929, C.A.3 (Pa.), April 03, 2003 (NO. 01-2033, 01-2369)</t>
  </si>
  <si>
    <t xml:space="preserve">In re PPI Enterprises (U.S.), Inc., </t>
  </si>
  <si>
    <t>324 F.3d 197, 2003 WL 1596037, 49 Collier Bankr.Cas.2d 1749, 41 Bankr.Ct.Dec. 16, Bankr. L. Rep. P 78,824, C.A.3 (Del.), March 28, 2003 (NO. 01-4140)</t>
  </si>
  <si>
    <t xml:space="preserve">Oelsner v. U.S., </t>
  </si>
  <si>
    <t>60 Fed.Appx. 412, 2003 WL 1564255, C.A.3 (Virgin Islands), March 27, 2003 (NO. 00-3720, 00-3721)</t>
  </si>
  <si>
    <t>324 F.3d 141, 2003 WL 1480498, 2003-1 Trade Cases P 73,989, 61 Fed. R. Evid. Serv. 60, C.A.3 (Pa.), March 25, 2003 (NO. 00-1368, 00-1473)</t>
  </si>
  <si>
    <t xml:space="preserve">Citicorp Venture Capital, Ltd. v. Committee of Creditors Holding Unsecured Claims, </t>
  </si>
  <si>
    <t>323 F.3d 228, 2003 WL 1258266, 41 Bankr.Ct.Dec. 6, 2 A.L.R. Fed. 2d 605, C.A.3 (Pa.), March 19, 2003 (NO. 02-1905, 02-1815)</t>
  </si>
  <si>
    <t xml:space="preserve">Polak v. Lebron, </t>
  </si>
  <si>
    <t>61 Fed.Appx. 807, 2003 WL 1701980, C.A.3 (Virgin Islands), March 18, 2003 (NO. 01-2197)</t>
  </si>
  <si>
    <t xml:space="preserve">Noone v. City of Ocean City, </t>
  </si>
  <si>
    <t>60 Fed.Appx. 904, 2003 WL 1228024, C.A.3 (N.J.), March 14, 2003 (NO. 01-4072)</t>
  </si>
  <si>
    <t xml:space="preserve">Srein v. Frankford Trust Co., </t>
  </si>
  <si>
    <t>323 F.3d 214, 2003 WL 1090600, 30 Employee Benefits Cas. 1978, Pens. Plan Guide (CCH) P 23982F, C.A.3 (Pa.), March 13, 2003 (NO. 01-4516)</t>
  </si>
  <si>
    <t xml:space="preserve">In re Trans World Airlines, Inc., </t>
  </si>
  <si>
    <t>322 F.3d 283, 2003 WL 1090606, 91 Fair Empl.Prac.Cas. (BNA) 385, 84 Empl. Prac. Dec. P 41,362, 40 Bankr.Ct.Dec. 284, Bankr. L. Rep. P 78,815, 25 NDLR P 194, 22 A.L.R. Fed. 2d 809, C.A.3 (Del.), March 13, 2003 (NO. 01-1788, 01-4159, 01-4437)</t>
  </si>
  <si>
    <t xml:space="preserve">U.S. v. Munoz-Valencia, </t>
  </si>
  <si>
    <t>59 Fed.Appx. 483, 2003 WL 873983, C.A.3 (Virgin Islands), March 07, 2003 (NO. 01-3976)</t>
  </si>
  <si>
    <t xml:space="preserve">Government of Virgin Islands v. Edwards, </t>
  </si>
  <si>
    <t>59 Fed.Appx. 470, 2003 WL 734195, C.A.3 (Virgin Islands), March 05, 2003 (NO. 01-4316)</t>
  </si>
  <si>
    <t xml:space="preserve">U.S. v. One "Piper" Aztec "F" De Luxe Model 250 PA 23 Aircraft Bearing Serial No. 27-7654057, </t>
  </si>
  <si>
    <t>321 F.3d 355, 2003 WL 751584, C.A.3 (Virgin Islands), March 05, 2003 (NO. 02-1925)</t>
  </si>
  <si>
    <t xml:space="preserve">Bluebeard's Castle, Inc. v. Government of Virgin Islands, </t>
  </si>
  <si>
    <t>321 F.3d 394, 2003 WL 559397, C.A.3 (Virgin Islands), February 28, 2003 (NO. 02-2807)</t>
  </si>
  <si>
    <t xml:space="preserve">Myers v. Barnhart, </t>
  </si>
  <si>
    <t>57 Fed.Appx. 990, 2003 WL 462791, C.A.3 (Pa.), February 25, 2003 (NO. 02-2747)</t>
  </si>
  <si>
    <t xml:space="preserve">Sisk v. Veterans Affairs, </t>
  </si>
  <si>
    <t>57 Fed.Appx. 125, 2003 WL 361206, C.A.3 (Pa.), February 20, 2003 (NO. 02-2475)</t>
  </si>
  <si>
    <t xml:space="preserve">U.S. v. Leuthe, </t>
  </si>
  <si>
    <t>57 Fed.Appx. 989, 2003 WL 356442, C.A.3 (Pa.), February 19, 2003 (NO. 02-1938)</t>
  </si>
  <si>
    <t xml:space="preserve">Hidy v. TIAA Group Long Term Disability Benefits Ins. Policy, </t>
  </si>
  <si>
    <t>57 Fed.Appx. 124, 2003 WL 294486, C.A.3 (Del.), February 12, 2003 (NO. 02-2140)</t>
  </si>
  <si>
    <t xml:space="preserve">Karaha Bodas Co., LLC. v. Virginia Indonesia Co., BP Muriah Ltd., </t>
  </si>
  <si>
    <t>57 Fed.Appx. 535, 2003 WL 294519, C.A.3 (Del.), February 12, 2003 (NO. 02-3029, 02-2480)</t>
  </si>
  <si>
    <t xml:space="preserve">Fotta v. Trustees of United Mine Workers of America, </t>
  </si>
  <si>
    <t>319 F.3d 612, 2003 WL 340728, 29 Employee Benefits Cas. 2672, C.A.3 (Pa.), February 11, 2003 (NO. 01-2097)</t>
  </si>
  <si>
    <t xml:space="preserve">Doehler-Jarvis, Inc. v. Kopystecki, </t>
  </si>
  <si>
    <t>57 Fed.Appx. 93, 2003 WL 220465, 29 Employee Benefits Cas. 2487, C.A.3 (Pa.), February 03, 2003 (NO. 99-1798)</t>
  </si>
  <si>
    <t xml:space="preserve">Martinez-Sanes v. Turnbull, </t>
  </si>
  <si>
    <t>318 F.3d 483, 2003 WL 177242, C.A.3 (Virgin Islands), January 28, 2003 (NO. 99-3644, 99-4084)</t>
  </si>
  <si>
    <t xml:space="preserve">S&amp;S Services Corp. v. Rogers, </t>
  </si>
  <si>
    <t>56 Fed.Appx. 584, 2003 WL 170037, C.A.3 (Virgin Islands), January 27, 2003 (NO. 02-1458)</t>
  </si>
  <si>
    <t xml:space="preserve">Toys "R" Us, Inc. v. Step Two, S.A., </t>
  </si>
  <si>
    <t>318 F.3d 446, 2003 WL 175322, 55 Fed.R.Serv.3d 591, 65 U.S.P.Q.2d 1628, C.A.3 (N.J.), January 27, 2003 (NO. 01-3390)</t>
  </si>
  <si>
    <t xml:space="preserve">Brosnahan Builders, Inc. v. Harleysville Mut. Ins. Co., </t>
  </si>
  <si>
    <t>Slip Copy, 2003 WL 146486, C.A.3 (Del.), January 21, 2003 (NO. 02-1402)</t>
  </si>
  <si>
    <t xml:space="preserve">Caran v. Ashcroft, </t>
  </si>
  <si>
    <t>55 Fed.Appx. 601, 2003 WL 152847, C.A.3, January 21, 2003 (NO. 02-1064)</t>
  </si>
  <si>
    <t xml:space="preserve">NVF Co. v. New Castle County, </t>
  </si>
  <si>
    <t>61 Fed.Appx. 778, 2003 WL 328428, C.A.3 (Del.), January 21, 2003 (NO. 02-2363)</t>
  </si>
  <si>
    <t xml:space="preserve">U.S. v. Grubb, </t>
  </si>
  <si>
    <t>58 Fed.Appx. 889, 2003 WL 145676, C.A.3 (Pa.), January 17, 2003 (NO. 01-3224)</t>
  </si>
  <si>
    <t xml:space="preserve">Lichtman v. Zelenkofske Axelrod &amp; Co., Ltd., </t>
  </si>
  <si>
    <t>55 Fed.Appx. 84, 2003 WL 146332, C.A.3 (Pa.), January 17, 2003 (NO. 01-3508)</t>
  </si>
  <si>
    <t xml:space="preserve">National Grange Mut. Ins. Co. v. Sharp Equipment Co. of Reading, PA, </t>
  </si>
  <si>
    <t>55 Fed.Appx. 85, 2003 WL 152849, C.A.3 (Pa.), January 17, 2003 (NO. 02-1876)</t>
  </si>
  <si>
    <t xml:space="preserve">U.S. v. Dufresne, </t>
  </si>
  <si>
    <t>58 Fed.Appx. 890, 2003 WL 283184, C.A.3 (Pa.), January 17, 2003 (NO. 02-1929, 01-1168)</t>
  </si>
  <si>
    <t xml:space="preserve">Grand Union Supermarkets of the Virgin Islands, Inc. v. H.E. Lockhart Management, Inc., </t>
  </si>
  <si>
    <t>316 F.3d 408, 2003 WL 135752, C.A.3 (Virgin Islands), January 16, 2003 (NO. 02-2578)</t>
  </si>
  <si>
    <t xml:space="preserve">Paper Magic Group, Inc. v. J.B. Hunt Transport, Inc., </t>
  </si>
  <si>
    <t>318 F.3d 458, 2003 WL 135787, C.A.3 (Pa.), January 16, 2003 (NO. 01-3500)</t>
  </si>
  <si>
    <t xml:space="preserve">Reynolds v. USX Corp., </t>
  </si>
  <si>
    <t>56 Fed.Appx. 80, 2003 WL 146367, C.A.3 (Pa.), January 15, 2003 (NO. 01-3941)</t>
  </si>
  <si>
    <t>58 Fed.Appx. 886, 2003 WL 146410, C.A.3 (Pa.), January 15, 2003 (NO. 02-1227)</t>
  </si>
  <si>
    <t xml:space="preserve">In re Geiger, </t>
  </si>
  <si>
    <t>55 Fed.Appx. 82, 2003 WL 115953, C.A.3 (Pa.), January 14, 2003 (NO. 01-2916)</t>
  </si>
  <si>
    <t xml:space="preserve">U.S. v. Adames, </t>
  </si>
  <si>
    <t>59 Fed.Appx. 442, 2003 WL 283186, C.A.3 (Virgin Islands), January 14, 2003 (NO. 02-1211, 02-1133)</t>
  </si>
  <si>
    <t>57 Fed.Appx. 936, 2003 WL 115949, C.A.3 (Pa.), January 13, 2003 (NO. 01-2571, 01-2765, 01-2764)</t>
  </si>
  <si>
    <t xml:space="preserve">U.S. v. Marrero, </t>
  </si>
  <si>
    <t>57 Fed.Appx. 905, 2003 WL 42470, C.A.3 (Virgin Islands), January 07, 2003 (NO. 02-1393)</t>
  </si>
  <si>
    <t xml:space="preserve">Hand v. American Bd. of Surgery, Inc., </t>
  </si>
  <si>
    <t>53 Fed.Appx. 663, 2002 WL 31888264, C.A.3 (Pa.), December 30, 2002 (NO. 02-2270)</t>
  </si>
  <si>
    <t xml:space="preserve">Keystone Filler &amp; Mfg. Co., Inc. v. American Mining Ins. Co., </t>
  </si>
  <si>
    <t>55 Fed.Appx. 600, 2002 WL 31894948, C.A.3 (Pa.), December 30, 2002 (NO. 02-1467)</t>
  </si>
  <si>
    <t>54 Fed.Appx. 113, 2002 WL 31859545, C.A.3 (Pa.), December 23, 2002 (NO. 02-2050)</t>
  </si>
  <si>
    <t xml:space="preserve">Brooks v. Fiore, </t>
  </si>
  <si>
    <t>53 Fed.Appx. 662, 2002 WL 31859546, C.A.3 (Del.), December 23, 2002 (NO. 01-4133)</t>
  </si>
  <si>
    <t xml:space="preserve">In re Prudential Ins. Co. of America Sales Practices Litigation, </t>
  </si>
  <si>
    <t>314 F.3d 99, 2002 WL 31876175, C.A.3 (N.J.), December 19, 2002 (NO. 01-4085)</t>
  </si>
  <si>
    <t xml:space="preserve">U.S. v. Nesbitt, </t>
  </si>
  <si>
    <t>57 Fed.Appx. 40, 2002 WL 31812900, C.A.3 (Virgin Islands), December 16, 2002 (NO. 02-2522)</t>
  </si>
  <si>
    <t xml:space="preserve">Brown &amp; Root Braun, Inc. v. Bogan Inc., </t>
  </si>
  <si>
    <t>54 Fed.Appx. 542, 2002 WL 31746554, C.A.3 (Pa.), December 05, 2002 (NO. 00-4261, 01-1083)</t>
  </si>
  <si>
    <t xml:space="preserve">U.S. v. Moncado-Polomo, </t>
  </si>
  <si>
    <t>55 Fed.Appx. 598, 2002 WL 31716400, C.A.3 (Virgin Islands), December 04, 2002 (NO. 02-1411)</t>
  </si>
  <si>
    <t xml:space="preserve">U.S. v. Sanchez, </t>
  </si>
  <si>
    <t>53 Fed.Appx. 208, 2002 WL 31554643, C.A.3 (Virgin Islands), November 19, 2002 (NO. 01-4040)</t>
  </si>
  <si>
    <t xml:space="preserve">U.S. v. Hitchens, </t>
  </si>
  <si>
    <t>62 Fed.Appx. 417, 2002 WL 31898234, C.A.3 (Pa.), November 19, 2002 (NO. 02-1554)</t>
  </si>
  <si>
    <t xml:space="preserve">Michael J. Benenson Associates, Inc. v. Orthopedic Network of New Jersey, </t>
  </si>
  <si>
    <t>54 Fed.Appx. 33, 2002 WL 31501849, C.A.3 (N.J.), November 08, 2002 (NO. 02-1206, 01-3746)</t>
  </si>
  <si>
    <t xml:space="preserve">U.S. v. Fellows, </t>
  </si>
  <si>
    <t>50 Fed.Appx. 82, 2002 WL 31419235, C.A.3 (Pa.), October 29, 2002 (NO. 01-4444)</t>
  </si>
  <si>
    <t xml:space="preserve">Istvanik v. Rogge, </t>
  </si>
  <si>
    <t>50 Fed.Appx. 533, 2002 WL 31412508, C.A.3 (Pa.), October 28, 2002 (NO. 01-3536, 01-3395)</t>
  </si>
  <si>
    <t xml:space="preserve">Morgan v. Commissioner of Social Security, </t>
  </si>
  <si>
    <t>49 Fed.Appx. 389, 2002 WL 31412510, C.A.3 (Del.), October 28, 2002 (NO. 02-1734)</t>
  </si>
  <si>
    <t xml:space="preserve">U.S. v. Cross, </t>
  </si>
  <si>
    <t>308 F.3d 308, 2002 WL 31360738, C.A.3 (Pa.), October 18, 2002 (NO. 00-3466, 00-3488)</t>
  </si>
  <si>
    <t xml:space="preserve">U.S. v. Lamb, </t>
  </si>
  <si>
    <t>53 Fed.Appx. 181, 2002 WL 31313876, C.A.3 (Pa.), October 16, 2002 (NO. 01-4073, 01-4178, 01-4266)</t>
  </si>
  <si>
    <t xml:space="preserve">Ceccanecchio v. Continental Cas. Co., </t>
  </si>
  <si>
    <t>50 Fed.Appx. 66, 2002 WL 31309260, 29 Employee Benefits Cas. 2274, C.A.3 (Pa.), October 15, 2002 (NO. 01-4468)</t>
  </si>
  <si>
    <t>71 Fed.Appx. 124, 2003 WL 21754976, C.A.3 (N.J.), July 30, 2003 (NO. 02-3771)</t>
  </si>
  <si>
    <t xml:space="preserve">Willow Inn, Inc. v. Public Service Mut. Ins. Co., </t>
  </si>
  <si>
    <t>66 Fed.Appx. 398, 2003 WL 21152949, C.A.3 (Pa.), May 20, 2003 (NO. 02-2145)</t>
  </si>
  <si>
    <t xml:space="preserve">Williams v. Quarantillo, </t>
  </si>
  <si>
    <t>75 Fed.Appx. 893, 2003 WL 22221360, C.A.3 (N.J.), September 26, 2003 (NO. 02-2443)</t>
  </si>
  <si>
    <t xml:space="preserve">Plastipak Packaging, Inc. v. DePasquale, </t>
  </si>
  <si>
    <t>75 Fed.Appx. 86, 2003 WL 22120971, C.A.3 (Pa.), September 12, 2003 (NO. 02-2670, 02-2935, 02-3262)</t>
  </si>
  <si>
    <t xml:space="preserve">Derevianko v. Ashcroft, </t>
  </si>
  <si>
    <t>78 Fed.Appx. 795, 2003 WL 22048008, C.A.3 (N.J.), August 29, 2003 (NO. 02-1307)</t>
  </si>
  <si>
    <t xml:space="preserve">Brown v. Reed Elsevier Inc., </t>
  </si>
  <si>
    <t>75 Fed.Appx. 869, 2003 WL 22120998, C.A.3 (N.J.), August 22, 2003 (NO. 02-2816)</t>
  </si>
  <si>
    <t xml:space="preserve">In re Yacuk, </t>
  </si>
  <si>
    <t>72 Fed.Appx. 882, 2003 WL 21982018, C.A.3 (N.J.), August 20, 2003 (NO. 02-2926)</t>
  </si>
  <si>
    <t xml:space="preserve">U.S. v. Hartman, </t>
  </si>
  <si>
    <t>74 Fed.Appx. 159, 2003 WL 22047993, C.A.3 (Pa.), August 11, 2003 (NO. 02-4458)</t>
  </si>
  <si>
    <t xml:space="preserve">U.S. v. Marion, </t>
  </si>
  <si>
    <t>75 Fed.Appx. 60, 2003 WL 22119371, C.A.3 (Pa.), August 07, 2003 (NO. 02-3782)</t>
  </si>
  <si>
    <t xml:space="preserve">U.S. v. Blakely, </t>
  </si>
  <si>
    <t>69 Fed.Appx. 570, 2003 WL 21675346, C.A.3 (N.J.), July 18, 2003 (NO. 02-2783)</t>
  </si>
  <si>
    <t xml:space="preserve">Roberts v. Mayor and Burgesses of London Borough of Brent, </t>
  </si>
  <si>
    <t>70 Fed.Appx. 615, 2003 WL 21543889, C.A.3 (N.J.), July 09, 2003 (NO. 02-2126)</t>
  </si>
  <si>
    <t xml:space="preserve">Sheet Workers Intern. Ass'n Local 27 Annuity v. New Brunswick Gen. Sheet Metal Works, </t>
  </si>
  <si>
    <t>67 Fed.Appx. 159, 2003 WL 21500335, C.A.3 (N.J.), June 30, 2003 (NO. 02-1348)</t>
  </si>
  <si>
    <t>67 Fed.Appx. 739, 2003 WL 21467227, C.A.3 (Pa.), June 24, 2003 (NO. 00-3117)</t>
  </si>
  <si>
    <t>67 Fed.Appx. 710, 2003 WL 21213337, C.A.3 (N.J.), May 22, 2003 (NO. 02-2372)</t>
  </si>
  <si>
    <t xml:space="preserve">Fetterolf v. Harcourt General, Inc., </t>
  </si>
  <si>
    <t>70 Fed.Appx. 54, 2003 WL 21152961, C.A.3 (Pa.), May 19, 2003 (NO. 02-2960)</t>
  </si>
  <si>
    <t xml:space="preserve">St. James Associates v. Larsen, </t>
  </si>
  <si>
    <t>67 Fed.Appx. 684, 2003 WL 21357232, C.A.3 (N.J.), May 12, 2003 (NO. 02-2280)</t>
  </si>
  <si>
    <t xml:space="preserve">Pelliccia v. U.S. Dept. of Educ., </t>
  </si>
  <si>
    <t>67 Fed.Appx. 88, 2003 WL 21024825, C.A.3 (Pa.), May 02, 2003 (NO. 02-1998)</t>
  </si>
  <si>
    <t xml:space="preserve">Gist v. Barnhart, </t>
  </si>
  <si>
    <t>67 Fed.Appx. 78, 2003 WL 1924698, C.A.3 (Pa.), April 23, 2003 (NO. 02-3691)</t>
  </si>
  <si>
    <t xml:space="preserve">U.S. v. Watkins, </t>
  </si>
  <si>
    <t>66 Fed.Appx. 325, 2003 WL 1904545, C.A.3 (N.J.), April 18, 2003 (NO. 02-1392)</t>
  </si>
  <si>
    <t>64 Fed.Appx. 844, 2003 WL 1889609, C.A.3 (Pa.), April 17, 2003 (NO. 02-2343)</t>
  </si>
  <si>
    <t xml:space="preserve">U.S. v. Washington, </t>
  </si>
  <si>
    <t>65 Fed.Appx. 400, 2003 WL 1889620, C.A.3 (Pa.), April 17, 2003 (NO. 02-2304)</t>
  </si>
  <si>
    <t xml:space="preserve">U.S. v. Ivencio-Belique-Emilia, </t>
  </si>
  <si>
    <t>65 Fed.Appx. 788, 2003 WL 1889621, C.A.3 (Virgin Islands), April 17, 2003 (NO. 02-2396)</t>
  </si>
  <si>
    <t xml:space="preserve">U.S. v. Lawton, </t>
  </si>
  <si>
    <t>66 Fed.Appx. 323, 2003 WL 1889623, C.A.3 (Pa.), April 17, 2003 (NO. 02-2726)</t>
  </si>
  <si>
    <t xml:space="preserve">U.S. v. Hurtado, </t>
  </si>
  <si>
    <t>65 Fed.Appx. 401, 2003 WL 1914109, C.A.3 (Pa.), April 17, 2003 (NO. 02-2815)</t>
  </si>
  <si>
    <t xml:space="preserve">U.S. v. Harrity, </t>
  </si>
  <si>
    <t>64 Fed.Appx. 335, 2003 WL 1973178, C.A.3 (N.J.), April 17, 2003 (NO. 02-1833)</t>
  </si>
  <si>
    <t xml:space="preserve">Hemphill v. Meyerson, </t>
  </si>
  <si>
    <t>65 Fed.Appx. 776, 2003 WL 1827099, Fed. Sec. L. Rep. P 92,405, C.A.3 (N.J.), April 04, 2003 (NO. 02-2449)</t>
  </si>
  <si>
    <t xml:space="preserve">Wolfgang v. Kocher Coal Co., </t>
  </si>
  <si>
    <t>63 Fed.Appx. 68, 2003 WL 1914146, C.A.3, March 31, 2003 (NO. 02-2574)</t>
  </si>
  <si>
    <t xml:space="preserve">U.S. v. Parchment, </t>
  </si>
  <si>
    <t>62 Fed.Appx. 430, 2003 WL 1228016, C.A.3 (Pa.), March 13, 2003 (NO. 02-1368)</t>
  </si>
  <si>
    <t xml:space="preserve">Government of Virgin Islands v. Marsham, </t>
  </si>
  <si>
    <t>62 Fed.Appx. 432, 2003 WL 1228020, C.A.3 (Virgin Islands), March 13, 2003 (NO. 01-3129)</t>
  </si>
  <si>
    <t xml:space="preserve">In re Nicola, </t>
  </si>
  <si>
    <t>65 Fed.Appx. 759, 2003 WL 1084630, C.A.3 (Pa.), March 11, 2003 (NO. 02-2124)</t>
  </si>
  <si>
    <t xml:space="preserve">Maye-El v. U.S., </t>
  </si>
  <si>
    <t>59 Fed.Appx. 488, 2003 WL 932364, C.A.3 (N.J.), March 10, 2003 (NO. 00-3541)</t>
  </si>
  <si>
    <t xml:space="preserve">Greer v. Smith, </t>
  </si>
  <si>
    <t>59 Fed.Appx. 491, 2003 WL 1090708, C.A.3 (Pa.), March 10, 2003 (NO. 01-2943)</t>
  </si>
  <si>
    <t xml:space="preserve">Essex Ins. Co. v. Kennedy, </t>
  </si>
  <si>
    <t>60 Fed.Appx. 367, 2003 WL 734193, C.A.3 (Pa.), March 05, 2003 (NO. 01-2327)</t>
  </si>
  <si>
    <t xml:space="preserve">Bihola v. Ashcroft, </t>
  </si>
  <si>
    <t>64 Fed.Appx. 330, 2003 WL 1914156, C.A.3, March 05, 2003 (NO. 02-2506)</t>
  </si>
  <si>
    <t xml:space="preserve">De la Roca v. Ashcroft, </t>
  </si>
  <si>
    <t>63 Fed.Appx. 598, 2003 WL 1914155, C.A.3, March 04, 2003 (NO. 02-2505)</t>
  </si>
  <si>
    <t xml:space="preserve">U.S. v. Shalata, </t>
  </si>
  <si>
    <t>57 Fed.Appx. 126, 2003 WL 403329, C.A.3 (Pa.), February 24, 2003 (NO. 01-4064)</t>
  </si>
  <si>
    <t>57 Fed.Appx. 126, 2003 WL 1090534, C.A.3 (Pa.), February 24, 2003 (NO. 01-2898)</t>
  </si>
  <si>
    <t xml:space="preserve">U.S. v. Berry, </t>
  </si>
  <si>
    <t>61 Fed.Appx. 797, 2003 WL 1090716, C.A.3 (Pa.), February 13, 2003 (NO. 01-1158)</t>
  </si>
  <si>
    <t xml:space="preserve">U.S. v. Gisewhite, </t>
  </si>
  <si>
    <t>64 Fed.Appx. 838, 2003 WL 294482, C.A.3 (Pa.), February 12, 2003 (NO. 01-1033)</t>
  </si>
  <si>
    <t xml:space="preserve">U.S. v. Warner, </t>
  </si>
  <si>
    <t>60 Fed.Appx. 893, 2003 WL 1090717, C.A.3 (Pa.), February 12, 2003 (NO. 02-1237)</t>
  </si>
  <si>
    <t xml:space="preserve">U.S. v. Pearson, </t>
  </si>
  <si>
    <t>60 Fed.Appx. 894, 2003 WL 1090718, C.A.3 (Pa.), February 12, 2003 (NO. 01-3497)</t>
  </si>
  <si>
    <t xml:space="preserve">U.S. v. Farrington, </t>
  </si>
  <si>
    <t>58 Fed.Appx. 919, 2003 WL 245280, C.A.3 (Virgin Islands), February 04, 2003 (NO. 00-3358)</t>
  </si>
  <si>
    <t xml:space="preserve">U.S. v. Hull, </t>
  </si>
  <si>
    <t>57 Fed.Appx. 504, 2003 WL 174815, C.A.3 (Virgin Islands), January 21, 2003 (NO. 02-1775)</t>
  </si>
  <si>
    <t xml:space="preserve">U.S. v. Ingram, </t>
  </si>
  <si>
    <t>62 Fed.Appx. 32, 2003 WL 340729, 93 A.F.T.R.2d 2004-1270, C.A.3 (N.J.), January 03, 2003 (NO. 99-5801)</t>
  </si>
  <si>
    <t xml:space="preserve">Gilberton Power Co. v. U.S., </t>
  </si>
  <si>
    <t>54 Fed.Appx. 572, 2002 WL 31870197, 90 A.F.T.R.2d 2002-7815, 2003-1 USTC P 50,154, C.A.3 (Pa.), December 23, 2002 (NO. 02-1783)</t>
  </si>
  <si>
    <t xml:space="preserve">U.S. v. Jiminez, </t>
  </si>
  <si>
    <t>54 Fed.Appx. 369, 2002 WL 31846195, C.A.3 (N.J.), December 20, 2002 (NO. 01-4488)</t>
  </si>
  <si>
    <t>54 Fed.Appx. 570, 2002 WL 31846197, C.A.3 (Pa.), December 20, 2002 (NO. 01-3906)</t>
  </si>
  <si>
    <t xml:space="preserve">Adams v. Coppola, </t>
  </si>
  <si>
    <t>53 Fed.Appx. 661, 2002 WL 31859548, C.A.3 (Pa.), December 20, 2002 (NO. 02-1072)</t>
  </si>
  <si>
    <t xml:space="preserve">U.S. v. Latimer, </t>
  </si>
  <si>
    <t>54 Fed.Appx. 105, 2002 WL 31831567, C.A.3 (Virgin Islands), December 18, 2002 (NO. 01-3238)</t>
  </si>
  <si>
    <t xml:space="preserve">U.S. v. Bright, </t>
  </si>
  <si>
    <t>54 Fed.Appx. 765, 2002 WL 31812910, C.A.3 (Virgin Islands), December 16, 2002 (NO. 02-1193, 02-1215, 02-1190)</t>
  </si>
  <si>
    <t xml:space="preserve">Jacobs v. Government of Virgin Islands, </t>
  </si>
  <si>
    <t>53 Fed.Appx. 651, 2002 WL 31887857, C.A.3 (Virgin Islands), December 12, 2002 (NO. 02-1135)</t>
  </si>
  <si>
    <t xml:space="preserve">Girty ex rel. Girty v. School Dist. of Valley Grove, </t>
  </si>
  <si>
    <t>60 Fed.Appx. 889, 2002 WL 31477721, 175 Ed. Law Rep. 408, C.A.3 (Pa.), October 28, 2002 (NO. 01-3934)</t>
  </si>
  <si>
    <t xml:space="preserve">U.S. v. Toran, </t>
  </si>
  <si>
    <t>50 Fed.Appx. 79, 2002 WL 31357223, C.A.3 (Pa.), October 21, 2002 (NO. 00-3786)</t>
  </si>
  <si>
    <t xml:space="preserve">Trimble v. Fleetwood Homes of Pennsylvania, Inc., </t>
  </si>
  <si>
    <t>49 Fed.Appx. 385, 2002 WL 31341337, C.A.3 (Pa.), October 18, 2002 (NO. 01-4170)</t>
  </si>
  <si>
    <t xml:space="preserve">PPG Industries, Inc. v. Zurawin, </t>
  </si>
  <si>
    <t>52 Fed.Appx. 570, 2002 WL 31289285, C.A.3 (Pa.), October 11, 2002 (NO. 00-4491, 01-4417)</t>
  </si>
  <si>
    <t xml:space="preserve">Holland v. GEICO Gen. Ins. Co., </t>
  </si>
  <si>
    <t>62 Fed.Appx. 415, 2002 WL 31477706, C.A.3 (Pa.), October 08, 2002 (NO. 01-4508)</t>
  </si>
  <si>
    <t>342 F.3d 271, 2003 WL 22038715, 180 Ed. Law Rep. 115, C.A.3 (N.J.), August 28, 2003 (NO. 02-1665)</t>
  </si>
  <si>
    <t xml:space="preserve">In re Zenith Electronics Corp., </t>
  </si>
  <si>
    <t>329 F.3d 338, 2003 WL 21185946, 50 Collier Bankr.Cas.2d 440, 41 Bankr.Ct.Dec. 97, Bankr. L. Rep. P 78,853, C.A.3 (Del.), May 21, 2003 (NO. 02-2078)</t>
  </si>
  <si>
    <t xml:space="preserve">Bair v. Shippensburg University, </t>
  </si>
  <si>
    <t>280 F.Supp.2d 357, 2003 WL 22075681, 181 Ed. Law Rep. 532, M.D.Pa., September 04, 2003 (NO. 4:03-CV-671)</t>
  </si>
  <si>
    <t xml:space="preserve">Amkor Technology, Inc. v. Alcatel Business Systems, </t>
  </si>
  <si>
    <t>278 F.Supp.2d 519, 2003 WL 21997731, E.D.Pa., August 22, 2003 (NO. CIV.A. 02-3156)</t>
  </si>
  <si>
    <t>total</t>
  </si>
  <si>
    <t>-</t>
  </si>
  <si>
    <t>MIP Check</t>
    <phoneticPr fontId="0" type="noConversion"/>
  </si>
  <si>
    <t>Unamious Check (only counts if no other opinions)</t>
    <phoneticPr fontId="0" type="noConversion"/>
  </si>
  <si>
    <t>547 U.S. 319</t>
  </si>
  <si>
    <t>126 S. Ct. 1727</t>
  </si>
  <si>
    <t>164 L. Ed. 2d 503</t>
  </si>
  <si>
    <t>2006 U.S. LEXIS 3454</t>
  </si>
  <si>
    <t>04-1327</t>
  </si>
  <si>
    <t>BOBBY LEE HOLMES v. SOUTH CAROLINA</t>
  </si>
  <si>
    <t>547 U.S. 489</t>
  </si>
  <si>
    <t>126 S. Ct. 1976</t>
  </si>
  <si>
    <t>164 L. Ed. 2d 749</t>
  </si>
  <si>
    <t>2006 U.S. LEXIS 4509</t>
  </si>
  <si>
    <t>05-5992</t>
  </si>
  <si>
    <t>JACOB ZEDNER v. UNITED STATES</t>
  </si>
  <si>
    <t>548 U.S. 81</t>
  </si>
  <si>
    <t>126 S. Ct. 2378</t>
  </si>
  <si>
    <t>165 L. Ed. 2d 368</t>
  </si>
  <si>
    <t>2006 U.S. LEXIS 4891</t>
  </si>
  <si>
    <t>05-416</t>
  </si>
  <si>
    <t>JEANNE S. WOODFORD, et al. v. VIET MIKE NGO</t>
  </si>
  <si>
    <t>548 U.S. 140</t>
  </si>
  <si>
    <t>126 S. Ct. 2557</t>
  </si>
  <si>
    <t>165 L. Ed. 2d 409</t>
  </si>
  <si>
    <t>2006 U.S. LEXIS 5165</t>
  </si>
  <si>
    <t>05-352</t>
  </si>
  <si>
    <t>UNITED STATES v. CUAUHTEMOC GONZALEZ-LOPEZ</t>
  </si>
  <si>
    <t>548 U.S. 557</t>
  </si>
  <si>
    <t>126 S. Ct. 2749</t>
  </si>
  <si>
    <t>165 L. Ed. 2d 723</t>
  </si>
  <si>
    <t>2006 U.S. LEXIS 5185</t>
  </si>
  <si>
    <t>05-184</t>
  </si>
  <si>
    <t>SALIM AHMED HAMDAN v. DONALD H. RUMSFELD, SECRETARY OF DEFENSE, et al.</t>
  </si>
  <si>
    <t>548 U.S. 1</t>
  </si>
  <si>
    <t>126 S. Ct. 2437</t>
  </si>
  <si>
    <t>165 L. Ed. 2d 299</t>
  </si>
  <si>
    <t>2006 U.S. LEXIS 4894</t>
  </si>
  <si>
    <t>05-7053</t>
  </si>
  <si>
    <t>KESHIA CHERIE ASHFORD DIXON v. UNITED STATES</t>
  </si>
  <si>
    <t>548 U.S. 53</t>
  </si>
  <si>
    <t>126 S. Ct. 2405</t>
  </si>
  <si>
    <t>165 L. Ed. 2d 345</t>
  </si>
  <si>
    <t>2006 U.S. LEXIS 4895</t>
  </si>
  <si>
    <t>05-259</t>
  </si>
  <si>
    <t>BURLINGTON NORTHERN &amp; SANTA FE RAILWAY COMPANY v. SHEILA WHITE</t>
  </si>
  <si>
    <t>548 U.S. 230</t>
  </si>
  <si>
    <t>126 S. Ct. 2479</t>
  </si>
  <si>
    <t>165 L. Ed. 2d 482</t>
  </si>
  <si>
    <t>2006 U.S. LEXIS 5161</t>
  </si>
  <si>
    <t>04-1528</t>
  </si>
  <si>
    <t>NEIL RANDALL, et al. v. WILLIAM H. SORRELL et al.</t>
  </si>
  <si>
    <t>547 U.S. 189</t>
  </si>
  <si>
    <t>126 S. Ct. 1689</t>
  </si>
  <si>
    <t>164 L. Ed. 2d 367</t>
  </si>
  <si>
    <t>2006 U.S. LEXIS 3449</t>
  </si>
  <si>
    <t>04-1618</t>
  </si>
  <si>
    <t>NORTHERN INSURANCE COMPANY OF NEW YORK v. CHATHAM COUNTY, GEORGIA</t>
  </si>
  <si>
    <t>547 U.S. 198</t>
  </si>
  <si>
    <t>126 S. Ct. 1675</t>
  </si>
  <si>
    <t>164 L. Ed. 2d 376</t>
  </si>
  <si>
    <t>2006 U.S. LEXIS 3448</t>
  </si>
  <si>
    <t>04-1324</t>
  </si>
  <si>
    <t>PATRICK DAY v. JAMES R. MCDONOUGH, INTERIM SECRETARY, FLORIDA DEPARTMENT OF CORRECTIONS</t>
  </si>
  <si>
    <t>547 U.S. 268</t>
  </si>
  <si>
    <t>126 S. Ct. 1752</t>
  </si>
  <si>
    <t>164 L. Ed. 2d 459</t>
  </si>
  <si>
    <t>2006 U.S. LEXIS 3455</t>
  </si>
  <si>
    <t>04-1506</t>
  </si>
  <si>
    <t>ARKANSAS DEPARTMENT OF HEALTH AND HUMAN SERVICES, et al. v. HEIDI AHLBORN</t>
  </si>
  <si>
    <t>547 U.S. 293</t>
  </si>
  <si>
    <t>126 S. Ct. 1735</t>
  </si>
  <si>
    <t>164 L. Ed. 2d 480</t>
  </si>
  <si>
    <t>2006 U.S. LEXIS 3456</t>
  </si>
  <si>
    <t>04-1544</t>
  </si>
  <si>
    <t>VICKIE LYNN MARSHALL v. E. PIERCE MARSHALL</t>
  </si>
  <si>
    <t>547 U.S. 332</t>
  </si>
  <si>
    <t>126 S. Ct. 1854</t>
  </si>
  <si>
    <t>164 L. Ed. 2d 589</t>
  </si>
  <si>
    <t>2006 U.S. LEXIS 3956</t>
  </si>
  <si>
    <t>04-1704</t>
  </si>
  <si>
    <t>DAIMLERCHRYSLER CORPORATION v. CHARLOTTE CUNO et al.</t>
  </si>
  <si>
    <t>547 U.S. 356</t>
  </si>
  <si>
    <t>126 S. Ct. 1869</t>
  </si>
  <si>
    <t>164 L. Ed. 2d 612</t>
  </si>
  <si>
    <t>2006 U.S. LEXIS 3954</t>
  </si>
  <si>
    <t>05-260</t>
  </si>
  <si>
    <t>JOEL SEREBOFF, ET UX. v. MID ATLANTIC MEDICAL SERVICES, INC.</t>
  </si>
  <si>
    <t>547 U.S. 370</t>
  </si>
  <si>
    <t>126 S. Ct. 1843</t>
  </si>
  <si>
    <t>164 L. Ed. 2d 625</t>
  </si>
  <si>
    <t>2006 U.S. LEXIS 3955</t>
  </si>
  <si>
    <t>04-1527</t>
  </si>
  <si>
    <t>S. D. WARREN COMPANY v. MAINE BOARD OF ENVIRONMENTAL PROTECTION et al.</t>
  </si>
  <si>
    <t>547 U.S. 388</t>
  </si>
  <si>
    <t>126 S. Ct. 1837</t>
  </si>
  <si>
    <t>164 L. Ed. 2d 641</t>
  </si>
  <si>
    <t>2006 U.S. LEXIS 3872</t>
  </si>
  <si>
    <t>05-130</t>
  </si>
  <si>
    <t>EBAY INC., et al. v. MERCEXCHANGE, L. L. C.</t>
  </si>
  <si>
    <t>547 U.S. 398</t>
  </si>
  <si>
    <t>126 S. Ct. 1943</t>
  </si>
  <si>
    <t>164 L. Ed. 2d 650</t>
  </si>
  <si>
    <t>2006 U.S. LEXIS 4155</t>
  </si>
  <si>
    <t>05-502</t>
  </si>
  <si>
    <t>BRIGHAM CITY, UTAH v. CHARLES W. STUART et al.</t>
  </si>
  <si>
    <t>547 U.S. 410</t>
  </si>
  <si>
    <t>126 S. Ct. 1951</t>
  </si>
  <si>
    <t>164 L. Ed. 2d 689</t>
  </si>
  <si>
    <t>2006 U.S. LEXIS 4341</t>
  </si>
  <si>
    <t>04-473</t>
  </si>
  <si>
    <t>GIL GARCETTI, et al. v. RICHARD CEBALLOS</t>
  </si>
  <si>
    <t>547 U.S. 451</t>
  </si>
  <si>
    <t>126 S. Ct. 1991</t>
  </si>
  <si>
    <t>164 L. Ed. 2d 720</t>
  </si>
  <si>
    <t>2006 U.S. LEXIS 4510</t>
  </si>
  <si>
    <t>04-433</t>
  </si>
  <si>
    <t>JOSEPH ANZA, et al. v. IDEAL STEEL SUPPLY CORP.</t>
  </si>
  <si>
    <t>547 U.S. 573</t>
  </si>
  <si>
    <t>126 S. Ct. 2096</t>
  </si>
  <si>
    <t>165 L. Ed. 2d 44</t>
  </si>
  <si>
    <t>2006 U.S. LEXIS 4674</t>
  </si>
  <si>
    <t>05-8794</t>
  </si>
  <si>
    <t>CLARENCE E. HILL v. JAMES R. MCDONOUGH, INTERIM SECRETARY, FLORIDA DEPARTMENT OF CORRECTIONS, et al.</t>
  </si>
  <si>
    <t>547 U.S. 586</t>
  </si>
  <si>
    <t>126 S. Ct. 2159</t>
  </si>
  <si>
    <t>165 L. Ed. 2d 56</t>
  </si>
  <si>
    <t>2006 U.S. LEXIS 4677</t>
  </si>
  <si>
    <t>04-1360</t>
  </si>
  <si>
    <t>BOOKER T. HUDSON, JR. v. MICHIGAN</t>
  </si>
  <si>
    <t>547 U.S. 633</t>
  </si>
  <si>
    <t>126 S. Ct. 2145</t>
  </si>
  <si>
    <t>165 L. Ed. 2d 92</t>
  </si>
  <si>
    <t>2006 U.S. LEXIS 4676</t>
  </si>
  <si>
    <t>05-409</t>
  </si>
  <si>
    <t>CARL KIRCHER, et al. v. PUTNAM FUNDS TRUST et al.</t>
  </si>
  <si>
    <t>547 U.S. 651</t>
  </si>
  <si>
    <t>126 S. Ct. 2105</t>
  </si>
  <si>
    <t>165 L. Ed. 2d 110</t>
  </si>
  <si>
    <t>2006 U.S. LEXIS 4678</t>
  </si>
  <si>
    <t>05-128</t>
  </si>
  <si>
    <t>HOWARD DELIVERY SERVICE, INC., et al. v. ZURICH AMERICAN INSURANCE CO.</t>
  </si>
  <si>
    <t>547 U.S. 677</t>
  </si>
  <si>
    <t>126 S. Ct. 2121</t>
  </si>
  <si>
    <t>165 L. Ed. 2d 131</t>
  </si>
  <si>
    <t>2006 U.S. LEXIS 4679</t>
  </si>
  <si>
    <t>05-200</t>
  </si>
  <si>
    <t>EMPIRE HEALTHCHOICE ASSURANCE, INC., DBA EMPIRE BLUE CROSS BLUE SHIELD v. DENISE F. MCVEIGH, AS ADMINISTRATRIX OF THE ESTATE OF JOSEPH E. MCVEIGH</t>
  </si>
  <si>
    <t>547 U.S. 813</t>
  </si>
  <si>
    <t>126 S. Ct. 2266</t>
  </si>
  <si>
    <t>165 L. Ed. 2d 224</t>
  </si>
  <si>
    <t>2006 U.S. LEXIS 4886</t>
  </si>
  <si>
    <t>05-5224</t>
  </si>
  <si>
    <t>ADRIAN MARTELL DAVIS v. WASHINGTON</t>
  </si>
  <si>
    <t>547 U.S. 843</t>
  </si>
  <si>
    <t>126 S. Ct. 2193</t>
  </si>
  <si>
    <t>165 L. Ed. 2d 250</t>
  </si>
  <si>
    <t>2006 U.S. LEXIS 4885</t>
  </si>
  <si>
    <t>04-9728</t>
  </si>
  <si>
    <t>DONALD CURTIS SAMSON v. CALIFORNIA</t>
  </si>
  <si>
    <t>548 U.S. 30</t>
  </si>
  <si>
    <t>126 S. Ct. 2422</t>
  </si>
  <si>
    <t>165 L. Ed. 2d 323</t>
  </si>
  <si>
    <t>2006 U.S. LEXIS 4892</t>
  </si>
  <si>
    <t>04-1376</t>
  </si>
  <si>
    <t>HUMBERTO FERNANDEZ-VARGAS v. ALBERTO R. GONZALES, ATTORNEY GENERAL</t>
  </si>
  <si>
    <t>548 U.S. 163</t>
  </si>
  <si>
    <t>126 S. Ct. 2516</t>
  </si>
  <si>
    <t>165 L. Ed. 2d 429</t>
  </si>
  <si>
    <t>2006 U.S. LEXIS 5163</t>
  </si>
  <si>
    <t>04-1170</t>
  </si>
  <si>
    <t>KANSAS v. MICHAEL LEE MARSH, II</t>
  </si>
  <si>
    <t>548 U.S. 212</t>
  </si>
  <si>
    <t>126 S. Ct. 2546</t>
  </si>
  <si>
    <t>165 L. Ed. 2d 466</t>
  </si>
  <si>
    <t>2006 U.S. LEXIS 5164</t>
  </si>
  <si>
    <t>05-83</t>
  </si>
  <si>
    <t>WASHINGTON v. ARTURO R. RECUENCO</t>
  </si>
  <si>
    <t>548 U.S. 291</t>
  </si>
  <si>
    <t>126 S. Ct. 2455</t>
  </si>
  <si>
    <t>165 L. Ed. 2d 526</t>
  </si>
  <si>
    <t>2006 U.S. LEXIS 5162</t>
  </si>
  <si>
    <t>05-18</t>
  </si>
  <si>
    <t>ARLINGTON CENTRAL SCHOOL DISTRICT BOARD OF EDUCATION v. PEARL MURPHY ET VIR</t>
  </si>
  <si>
    <t>548 U.S. 331</t>
  </si>
  <si>
    <t>126 S. Ct. 2669</t>
  </si>
  <si>
    <t>165 L. Ed. 2d 557</t>
  </si>
  <si>
    <t>2006 U.S. LEXIS 5177</t>
  </si>
  <si>
    <t>04-10566</t>
  </si>
  <si>
    <t>MOISES SANCHEZ-LLAMAS v. OREGON</t>
  </si>
  <si>
    <t>548 U.S. 735</t>
  </si>
  <si>
    <t>126 S. Ct. 2709</t>
  </si>
  <si>
    <t>165 L. Ed. 2d 842</t>
  </si>
  <si>
    <t>2006 U.S. LEXIS 5184</t>
  </si>
  <si>
    <t>05-5966</t>
  </si>
  <si>
    <t>ERIC MICHAEL CLARK v. ARIZONA</t>
  </si>
  <si>
    <t>547 U.S. 715</t>
  </si>
  <si>
    <t>126 S. Ct. 2208</t>
  </si>
  <si>
    <t>165 L. Ed. 2d 159</t>
  </si>
  <si>
    <t>2006 U.S. LEXIS 4887</t>
  </si>
  <si>
    <t>04-1034</t>
  </si>
  <si>
    <t>JOHN A. RAPANOS, ET UX., et al. v. UNITED STATES</t>
  </si>
  <si>
    <t>548 U.S. 399</t>
  </si>
  <si>
    <t>126 S. Ct. 2594</t>
  </si>
  <si>
    <t>165 L. Ed. 2d 609</t>
  </si>
  <si>
    <t>2006 U.S. LEXIS 5178</t>
  </si>
  <si>
    <t>05-204</t>
  </si>
  <si>
    <t>LEAGUE OF UNITED LATIN AMERICAN CITIZENS, et al. v. RICK PERRY, GOVERNOR OF TEXAS, et al.</t>
  </si>
  <si>
    <t>546 U.S. 450</t>
  </si>
  <si>
    <t>126 S. Ct. 1193</t>
  </si>
  <si>
    <t>163 L. Ed. 2d 1047</t>
  </si>
  <si>
    <t>2006 U.S. LEXIS 1817</t>
  </si>
  <si>
    <t>04-1095</t>
  </si>
  <si>
    <t>546 U.S. 454</t>
  </si>
  <si>
    <t>126 S. Ct. 1195</t>
  </si>
  <si>
    <t>163 L. Ed. 2d 1053</t>
  </si>
  <si>
    <t>2006 U.S. LEXIS 1816</t>
  </si>
  <si>
    <t>05-379</t>
  </si>
  <si>
    <t>ANTHONY ASH et al. v. TYSON FOODS, INC.</t>
  </si>
  <si>
    <t>546 U.S. 459</t>
  </si>
  <si>
    <t>126 S. Ct. 1198</t>
  </si>
  <si>
    <t>163 L. Ed. 2d 1059</t>
  </si>
  <si>
    <t>2006 U.S. LEXIS 1105</t>
  </si>
  <si>
    <t>05-555</t>
  </si>
  <si>
    <t>KEITH LANCE, et al. v. GIGI DENNIS, COLORADO SECRETARY OF STATE</t>
  </si>
  <si>
    <t>547 U.S. 183</t>
  </si>
  <si>
    <t>126 S. Ct. 1613</t>
  </si>
  <si>
    <t>164 L. Ed. 2d 358</t>
  </si>
  <si>
    <t>2006 U.S. LEXIS 3268</t>
  </si>
  <si>
    <t>05-552</t>
  </si>
  <si>
    <t>ALBERTO R. GONZALES, ATTORNEY GENERAL v. MICHELLE THOMAS et al.</t>
  </si>
  <si>
    <t>547 U.S. 188</t>
  </si>
  <si>
    <t>164 L. Ed. 2d 364</t>
  </si>
  <si>
    <t>2006 U.S. LEXIS 3447</t>
  </si>
  <si>
    <t>05-8400</t>
  </si>
  <si>
    <t>JEFFREY JEROME SALINAS v. UNITED STATES</t>
  </si>
  <si>
    <t>547 U.S. 867</t>
  </si>
  <si>
    <t>126 S. Ct. 2188</t>
  </si>
  <si>
    <t>165 L. Ed. 2d 269</t>
  </si>
  <si>
    <t>2006 U.S. LEXIS 4884</t>
  </si>
  <si>
    <t>05-6997</t>
  </si>
  <si>
    <t>DENVER A. YOUNGBLOOD, JR. v. WEST VIRGINIA</t>
  </si>
  <si>
    <t>547 U.S. 150</t>
  </si>
  <si>
    <t>126 S. Ct. 1543</t>
  </si>
  <si>
    <t>164 L. Ed. 2d 271</t>
  </si>
  <si>
    <t>2006 U.S. LEXIS 2703</t>
  </si>
  <si>
    <t>8 ORIG</t>
  </si>
  <si>
    <t>STATE OF ARIZONA v. STATE OF CALIFORNIA et al.</t>
  </si>
  <si>
    <t>547 U.S. 516</t>
  </si>
  <si>
    <t>126 S. Ct. 2016</t>
  </si>
  <si>
    <t>164 L. Ed. 2d 776</t>
  </si>
  <si>
    <t>2006 U.S. LEXIS 4507</t>
  </si>
  <si>
    <t>05-465</t>
  </si>
  <si>
    <t>MOHAWK INDUSTRIES, INC. v. SHIRLEY WILLIAMS et al.</t>
  </si>
  <si>
    <t>548 U.S. 124</t>
  </si>
  <si>
    <t>126 S. Ct. 2921</t>
  </si>
  <si>
    <t>165 L. Ed. 2d 399</t>
  </si>
  <si>
    <t>2006 U.S. LEXIS 4893</t>
  </si>
  <si>
    <t>04-607</t>
  </si>
  <si>
    <t>LABORATORY CORPORATION OF AMERICA HOLDINGS, DBA LABCORP v. METABOLITE LABORATORIES, INC., et al.</t>
  </si>
  <si>
    <t>09-671</t>
  </si>
  <si>
    <t>Nurre v. Whitehead</t>
  </si>
  <si>
    <t>559/1</t>
  </si>
  <si>
    <t xml:space="preserve">Davis v. U.S., </t>
  </si>
  <si>
    <t>131 S.Ct. 2419, 2011 WL 2369583, 180 L.Ed.2d 285, 79 USLW 4495, 11 Cal. Daily Op. Serv. 7357, 2011 Daily Journal D.A.R. 8840, 22 Fla. L. Weekly Fed. S 1144, U.S., June 16, 2011 (NO. 09-11328)</t>
  </si>
  <si>
    <t xml:space="preserve">Microsoft Corp. v. i4i Ltd. Partnership, </t>
  </si>
  <si>
    <t>131 S.Ct. 2238, 2011 WL 2224428, 180 L.Ed.2d 131, 79 USLW 4454, 98 U.S.P.Q.2d 1857, 11 Cal. Daily Op. Serv. 7005, 2011 Daily Journal D.A.R. 8372, 22 Fla. L. Weekly Fed. S 1105, U.S., June 09, 2011 (NO. 10-290)</t>
  </si>
  <si>
    <t xml:space="preserve">Skinner v. Switzer, </t>
  </si>
  <si>
    <t>131 S.Ct. 1289, 2011 WL 767703, 179 L.Ed.2d 233, 79 USLW 4157, 11 Cal. Daily Op. Serv. 2965, 2011 Daily Journal D.A.R. 3506, 22 Fla. L. Weekly Fed. S 866, U.S., March 07, 2011 (NO. 09-9000)</t>
  </si>
  <si>
    <t xml:space="preserve">Pepper v. U.S., </t>
  </si>
  <si>
    <t>131 S.Ct. 1229, 2011 WL 709543, 179 L.Ed.2d 196, 79 USLW 4144, 11 Cal. Daily Op. Serv. 2761, 2011 Daily Journal D.A.R. 3291, 22 Fla. L. Weekly Fed. S 844, U.S., March 02, 2011 (NO. 09-6822)</t>
  </si>
  <si>
    <t xml:space="preserve">National Aeronautics and Space Admin. v. Nelson, </t>
  </si>
  <si>
    <t>131 S.Ct. 746, 2011 WL 148254, 178 L.Ed.2d 667, 79 USLW 4043, 31 IER Cases 1057, 11 Cal. Daily Op. Serv. 696, 2011 Daily Journal D.A.R. 918, 22 Fla. L. Weekly Fed. S 760, U.S., January 19, 2011 (NO. 09-530)</t>
  </si>
  <si>
    <t xml:space="preserve">Morgan v. Swanson, </t>
  </si>
  <si>
    <t>--- F.3d ----, 2011 WL 4448736, C.A.5 (Tex.), September 27, 2011 (NO. NO.09-40373)</t>
  </si>
  <si>
    <t>--- F.3d ----, 2011 WL 4430808, C.A.3 (Pa.), September 23, 2011 (NO. 11-1202)</t>
  </si>
  <si>
    <t>--- F.3d ----, 2011 WL 3805618, C.A.6 (Ohio), August 30, 2011 (NO. 10-3390)</t>
  </si>
  <si>
    <t xml:space="preserve">U.S. v. Chang Hong, </t>
  </si>
  <si>
    <t>--- F.3d ----, 2011 WL 3805763, C.A.10 (Okla.), August 30, 2011 (NO. 10-6294)</t>
  </si>
  <si>
    <t xml:space="preserve">Chaidez v. U.S., </t>
  </si>
  <si>
    <t>--- F.3d ----, 2011 WL 3705173, C.A.7 (Ill.), August 23, 2011 (NO. 10-3623)</t>
  </si>
  <si>
    <t xml:space="preserve">U.S. v. Simmons, </t>
  </si>
  <si>
    <t>649 F.3d 237, 2011 WL 3607266, C.A.4 (N.C.), August 17, 2011 (NO. 08-4475)</t>
  </si>
  <si>
    <t xml:space="preserve">Briscoe v. City of New Haven, </t>
  </si>
  <si>
    <t>--- F.3d ----, 2011 WL 3560001, 112 Fair Empl.Prac.Cas. (BNA) 1793, 94 Empl. Prac. Dec. P 44,242, C.A.2 (Conn.), August 15, 2011 (NO. 10-1975-CV)</t>
  </si>
  <si>
    <t xml:space="preserve">Stserba v. Holder, </t>
  </si>
  <si>
    <t>646 F.3d 964, 2011 WL 1901546, C.A.6, May 20, 2011 (NO. 09-4312)</t>
  </si>
  <si>
    <t xml:space="preserve">Doe v. Indian River School Dist., </t>
  </si>
  <si>
    <t>--- F.3d ----, 2011 WL 3373810, C.A.3 (Del.), August 05, 2011 (NO. 10-1819)</t>
  </si>
  <si>
    <t xml:space="preserve">U.S. v. McMurray, </t>
  </si>
  <si>
    <t>--- F.3d ----, 2011 WL 3330061, C.A.6 (Tenn.), August 04, 2011 (NO. 09-5806)</t>
  </si>
  <si>
    <t xml:space="preserve">Alpha Delta Chi-Delta Chapter v. Reed, </t>
  </si>
  <si>
    <t>648 F.3d 790, 2011 WL 3275950, 11 Cal. Daily Op. Serv. 9703, 2011 Daily Journal D.A.R. 11,616, C.A.9 (Cal.), August 02, 2011 (NO. 09-55299)</t>
  </si>
  <si>
    <t>Cited in a footnote, forgot if this means anything different</t>
  </si>
  <si>
    <t xml:space="preserve">Pangaea, Inc. v. Flying Burrito LLC, </t>
  </si>
  <si>
    <t>647 F.3d 741, 2011 WL 3241859, 99 U.S.P.Q.2d 1615, C.A.8 (Ark.), August 01, 2011 (NO. 09-3672)</t>
  </si>
  <si>
    <t>Breyer wrote opinion. Alito mentioned with him by name in the footnote</t>
  </si>
  <si>
    <t xml:space="preserve">Kowalski v. Berkeley County Schools, </t>
  </si>
  <si>
    <t>--- F.3d ----, 2011 WL 3132523, C.A.4 (W.Va.), July 27, 2011 (NO. 10-1098)</t>
  </si>
  <si>
    <t xml:space="preserve">Chavez v. Secretary Florida Dept. of Corrections, </t>
  </si>
  <si>
    <t>647 F.3d 1057, 2011 WL 2990060, 23 Fla. L. Weekly Fed. C 154, C.A.11 (Fla.), July 25, 2011 (NO. 10-13840)</t>
  </si>
  <si>
    <t xml:space="preserve">Electronic Privacy Information Center v. U.S. Dept. of Homeland Sec., </t>
  </si>
  <si>
    <t>--- F.3d ----, 2011 WL 2739752, C.A.D.C., July 15, 2011 (NO. 10-1157)</t>
  </si>
  <si>
    <t>--- F.3d ----, 2011 WL 2637274, C.A.6 (Mich.), July 07, 2011 (NO. 09-1386)</t>
  </si>
  <si>
    <t xml:space="preserve">Ezell v. City of Chicago, </t>
  </si>
  <si>
    <t>--- F.3d ----, 2011 WL 2623511, C.A.7 (Ill.), July 06, 2011 (NO. 10-3525)</t>
  </si>
  <si>
    <t xml:space="preserve">Thompson v. Somervell County, Tex., </t>
  </si>
  <si>
    <t>Slip Copy, 2011 WL 2623571, 112 Fair Empl.Prac.Cas. (BNA) 1231, C.A.5 (Tex.), July 01, 2011 (NO. 11-50016)</t>
  </si>
  <si>
    <t xml:space="preserve">U.S. v. Orocio, </t>
  </si>
  <si>
    <t>645 F.3d 630, 2011 WL 2557232, C.A.3 (N.J.), June 29, 2011 (NO. 10-1231)</t>
  </si>
  <si>
    <t>--- F.3d ----, 2011 WL 2473960, 11 Cal. Daily Op. Serv. 7772, 2011 Daily Journal D.A.R. 9356, C.A.9 (Ariz.), June 23, 2011 (NO. 10-10088)</t>
  </si>
  <si>
    <t xml:space="preserve">In re Davis Offshore, L.P., </t>
  </si>
  <si>
    <t>644 F.3d 259, 2011 WL 2410498, 55 Bankr.Ct.Dec. 3, C.A.5 (Tex.), June 16, 2011 (NO. 09-41294)</t>
  </si>
  <si>
    <t>cited in a footnote</t>
  </si>
  <si>
    <t xml:space="preserve">Wilson v. Roy, </t>
  </si>
  <si>
    <t>643 F.3d 433, 2011 WL 2305959, C.A.5 (Tex.), June 13, 2011 (NO. 09-40556)</t>
  </si>
  <si>
    <t>--- F.3d ----, 2011 WL 2305973, C.A.3 (Pa.), June 13, 2011 (NO. 08-4138)</t>
  </si>
  <si>
    <t>m, c</t>
  </si>
  <si>
    <t xml:space="preserve">Roth v. Guzman, </t>
  </si>
  <si>
    <t>650 F.3d 603, 2011 WL 2306224, C.A.6 (Ohio), June 13, 2011 (NO. 10-3542)</t>
  </si>
  <si>
    <t>Scalia opinion mentioned. Textual ref to Alito joining in opinion</t>
  </si>
  <si>
    <t xml:space="preserve">Victory Through Jesus Sports Ministry Foundation v. Lee's Summit R-7 School Dist., </t>
  </si>
  <si>
    <t>640 F.3d 329, 2011 WL 1900386, 267 Ed. Law Rep. 466, C.A.8 (Mo.), May 20, 2011 (NO. 10-2296)</t>
  </si>
  <si>
    <t>footnote cite</t>
  </si>
  <si>
    <t>640 F.3d 580, 2011 WL 1844578, C.A.4 (Md.), May 17, 2011 (NO. 09-4760)</t>
  </si>
  <si>
    <t xml:space="preserve">Lugo v. Zickefoose, </t>
  </si>
  <si>
    <t>427 Fed.Appx. 89, 2011 WL 1831221, C.A.3 (N.J.), May 13, 2011 (NO. 11-1123)</t>
  </si>
  <si>
    <t xml:space="preserve">U.S. v. Aslan, </t>
  </si>
  <si>
    <t>644 F.3d 526, 2011 WL 1793759, C.A.7 (Ill.), May 12, 2011 (NO. 08-1486, 08-1678, 08-3789, 08-4136)</t>
  </si>
  <si>
    <t xml:space="preserve">U.S. v. Brennan, </t>
  </si>
  <si>
    <t>--- F.3d ----, 2011 WL 1679850, 112 Fair Empl.Prac.Cas. (BNA) 193, 94 Empl. Prac. Dec. P 44,173, C.A.2 (N.Y.), May 05, 2011 (NO. 08-5171-CV(L), 08-5172-CV(XAP), 08-5173-CV-(XAP), 08-5375-CV-(XAP), 08-5149-CV (CON), 08-4639-CV (CON))</t>
  </si>
  <si>
    <t xml:space="preserve">U.S. v. Yelloweagle, </t>
  </si>
  <si>
    <t>643 F.3d 1275, 2011 WL 1632095, C.A.10 (Colo.), May 02, 2011 (NO. 09-1247)</t>
  </si>
  <si>
    <t xml:space="preserve">Sherley v. Sebelius, </t>
  </si>
  <si>
    <t>644 F.3d 388, 2011 WL 1599685, C.A.D.C., April 29, 2011 (NO. 10-5287)</t>
  </si>
  <si>
    <t xml:space="preserve">U.S. v. Kane, </t>
  </si>
  <si>
    <t>639 F.3d 1121, 2011 WL 1707182, C.A.8, April 29, 2011 (NO. 06-1103)</t>
  </si>
  <si>
    <t xml:space="preserve">Doninger v. Niehoff, </t>
  </si>
  <si>
    <t>642 F.3d 334, 2011 WL 1532289, 268 Ed. Law Rep. 643, C.A.2 (Conn.), April 25, 2011 (NO. 09-1452-CV L, 09-1601-CV XAP, 09-2261-CV CON)</t>
  </si>
  <si>
    <t xml:space="preserve">Landsman &amp; Funk PC v. Skinder-Strauss Associates, </t>
  </si>
  <si>
    <t>640 F.3d 72, 2011 WL 1226371, C.A.3 (N.J.), April 04, 2011 (NO. 09-3532, 09-3793, 09-3105)</t>
  </si>
  <si>
    <t xml:space="preserve">U.S. v. Diaz, </t>
  </si>
  <si>
    <t>420 Fed.Appx. 456, 2011 WL 1228991, C.A.5 (Tex.), April 04, 2011 (NO. 09-40946)</t>
  </si>
  <si>
    <t xml:space="preserve">U.S. v. Quinones, </t>
  </si>
  <si>
    <t>635 F.3d 590, 2011 WL 1120254, C.A.2 (N.Y.), March 29, 2011 (NO. 09-4361-CR L, 10-0333-CR CON)</t>
  </si>
  <si>
    <t xml:space="preserve">Showers v. Beard, </t>
  </si>
  <si>
    <t>635 F.3d 625, 2011 WL 1108218, C.A.3 (Pa.), March 28, 2011 (NO. 09-2185)</t>
  </si>
  <si>
    <t xml:space="preserve">U.S. v. Byrd, </t>
  </si>
  <si>
    <t>419 Fed.Appx. 485, 2011 WL 990304, C.A.5 (Tex.), March 22, 2011 (NO. 09-51108)</t>
  </si>
  <si>
    <t xml:space="preserve">In re BP Lubricants USA Inc., </t>
  </si>
  <si>
    <t>637 F.3d 1307, 2011 WL 873147, 79 Fed.R.Serv.3d 325, 97 U.S.P.Q.2d 2025, C.A.Fed. (Ill.), March 15, 2011 (NO. MISC. 960)</t>
  </si>
  <si>
    <t xml:space="preserve">Defoe ex rel. Defoe v. Spiva, </t>
  </si>
  <si>
    <t>--- F.3d ----, 2011 WL 1007948, C.A.6, March 14, 2011 (NO. 09-6080)</t>
  </si>
  <si>
    <t xml:space="preserve">Lamont v. New Jersey, </t>
  </si>
  <si>
    <t>637 F.3d 177, 2011 WL 753856, C.A.3 (N.J.), March 04, 2011 (NO. 09-1845)</t>
  </si>
  <si>
    <t xml:space="preserve">Huffington v. T.C. Group, LLC, </t>
  </si>
  <si>
    <t>637 F.3d 18, 2011 WL 676105, C.A.1 (Mass.), February 25, 2011 (NO. 10-1405)</t>
  </si>
  <si>
    <t xml:space="preserve">Harold H. Huggins Realty, Inc. v. FNC, Inc., </t>
  </si>
  <si>
    <t>634 F.3d 787, 2011 WL 651892, 2011-1 Trade Cases P 77,376, 97 U.S.P.Q.2d 1962, C.A.5 (Miss.), February 24, 2011 (NO. 09-60804)</t>
  </si>
  <si>
    <t xml:space="preserve">U.S. v. Buford, </t>
  </si>
  <si>
    <t>632 F.3d 264, 2011 WL 447048, C.A.6 (Tenn.), February 10, 2011 (NO. 09-5737)</t>
  </si>
  <si>
    <t xml:space="preserve">U.S. v. Madrid, </t>
  </si>
  <si>
    <t>633 F.3d 1222, 2011 WL 455766, C.A.10 (N.M.), February 10, 2011 (NO. 09-2262)</t>
  </si>
  <si>
    <t xml:space="preserve">Dickens v. Brewer, </t>
  </si>
  <si>
    <t>631 F.3d 1139, 2011 WL 420682, 11 Cal. Daily Op. Serv. 1849, 2011 Daily Journal D.A.R. 2246, C.A.9 (Ariz.), February 09, 2011 (NO. 09-16539)</t>
  </si>
  <si>
    <t>Roberts opinion joined by Alito cited. Alito mentioned by name</t>
  </si>
  <si>
    <t xml:space="preserve">Schandelmeier-Bartels v. Chicago Park Dist., </t>
  </si>
  <si>
    <t>634 F.3d 372, 2011 WL 383021, 111 Fair Empl.Prac.Cas. (BNA) 739, 94 Empl. Prac. Dec. P 44,096, 78 Fed.R.Serv.3d 1023, C.A.7 (Ill.), February 08, 2011 (NO. 09-3286, 09-3468)</t>
  </si>
  <si>
    <t>632 F.3d 912, 2011 WL 338802, C.A.5 (Miss.), February 04, 2011 (NO. 09-60823)</t>
  </si>
  <si>
    <t xml:space="preserve">Mei Fun Wong v. Holder, </t>
  </si>
  <si>
    <t>633 F.3d 64, 2011 WL 293762, C.A.2, February 01, 2011 (NO. 08-5328-AG)</t>
  </si>
  <si>
    <t xml:space="preserve">U.S. v. Franco, </t>
  </si>
  <si>
    <t>632 F.3d 880, 2011 WL 303273, C.A.5 (Tex.), February 01, 2011 (NO. 09-50909)</t>
  </si>
  <si>
    <t xml:space="preserve">Charvat v. EchoStar Satellite, LLC, </t>
  </si>
  <si>
    <t>630 F.3d 459, 2010 WL 5392875, 52 Communications Reg. (P&amp;F) 201, C.A.6 (Ohio), December 30, 2010 (NO. 09-4525)</t>
  </si>
  <si>
    <t>627 F.3d 1068, 2010 WL 5174356, C.A.8 (Mo.), December 22, 2010 (NO. 09-3731)</t>
  </si>
  <si>
    <t xml:space="preserve">Green v. Napolitano, </t>
  </si>
  <si>
    <t>627 F.3d 1341, 2010 WL 5157366, C.A.10 (Colo.), December 21, 2010 (NO. 10-1156)</t>
  </si>
  <si>
    <t xml:space="preserve">American Atheists, Inc. v. Davenport, </t>
  </si>
  <si>
    <t>637 F.3d 1095, 2010 WL 5151630, C.A.10 (Utah), December 20, 2010 (NO. 08-4061)</t>
  </si>
  <si>
    <t xml:space="preserve">Rock for Life-UMBC v. Hrabowski, </t>
  </si>
  <si>
    <t>411 Fed.Appx. 541, 2010 WL 5189456, 266 Ed. Law Rep. 689, C.A.4 (Md.), December 16, 2010 (NO. 09-1892)</t>
  </si>
  <si>
    <t xml:space="preserve">Association of American Physicians &amp; Surgeons, Inc. v. Texas Medical Bd., </t>
  </si>
  <si>
    <t>627 F.3d 547, 2010 WL 4909611, C.A.5 (Tex.), December 02, 2010 (NO. 09-50953)</t>
  </si>
  <si>
    <t xml:space="preserve">U.S. v. Matos-Luchi, </t>
  </si>
  <si>
    <t>627 F.3d 1, 2010 WL 4868650, C.A.1 (Puerto Rico), December 01, 2010 (NO. 08-2289, 08-2290, 08-2291)</t>
  </si>
  <si>
    <t xml:space="preserve">Hogan v. J.P. Morgan Chase Bank, </t>
  </si>
  <si>
    <t>402 Fed.Appx. 590, 2010 WL 4847032, 111 Fair Empl.Prac.Cas. (BNA) 63, C.A.2 (N.Y.), November 30, 2010 (NO. 09-3048-CV)</t>
  </si>
  <si>
    <t>625 F.3d 324, 2010 WL 4643256, 262 Ed. Law Rep. 53, C.A.6 (Tenn.), November 18, 2010 (NO. 09-6080)</t>
  </si>
  <si>
    <t xml:space="preserve">Sampson v. Buescher, </t>
  </si>
  <si>
    <t>625 F.3d 1247, 2010 WL 4456970, C.A.10 (Colo.), November 09, 2010 (NO. 08-1389, 08-1415)</t>
  </si>
  <si>
    <t>624 F.3d 332, 2010 WL 4117286, 160 Lab.Cas. P 10,317, 261 Ed. Law Rep. 904, 31 IER Cases 481, C.A.6 (Ohio), October 21, 2010 (NO. 09-3775)</t>
  </si>
  <si>
    <t xml:space="preserve">Wellington v. Holder, </t>
  </si>
  <si>
    <t>623 F.3d 115, 2010 WL 4103759, C.A.2, October 20, 2010 (NO. 09-4111-AG)</t>
  </si>
  <si>
    <t xml:space="preserve">Portalatin v. Graham, </t>
  </si>
  <si>
    <t>624 F.3d 69, 2010 WL 4055571, C.A.2, October 18, 2010 (NO. 07-1599-PR, 06-3550-PR, 07-3588-PR)</t>
  </si>
  <si>
    <t xml:space="preserve">Wackerly v. Jones, </t>
  </si>
  <si>
    <t>398 Fed.Appx. 360, 2010 WL 3965929, C.A.10 (Okla.), October 12, 2010 (NO. 10-6237)</t>
  </si>
  <si>
    <t xml:space="preserve">footnote cite. Plurality opinion joined by Alito cited. </t>
  </si>
  <si>
    <t xml:space="preserve">Braddy v. Fox, </t>
  </si>
  <si>
    <t>Slip Copy, 2011 WL 4399820, E.D.Tex., September 21, 2011 (NO. 1:10CV401)</t>
  </si>
  <si>
    <t xml:space="preserve">footnote cite </t>
  </si>
  <si>
    <t xml:space="preserve">Ortiz v. Standard &amp; Poor's, </t>
  </si>
  <si>
    <t>Slip Copy, 2011 WL 4056901, S.D.N.Y., August 29, 2011 (NO. 10 CIV. 8490 NRB)</t>
  </si>
  <si>
    <t xml:space="preserve">Santos-Sanchez v. U.S., </t>
  </si>
  <si>
    <t>Slip Copy, 2011 WL 3793691, S.D.Tex., August 24, 2011 (NO. 5:06-CV-153)</t>
  </si>
  <si>
    <t xml:space="preserve">Oticon, Inc. v. Sebotek Hearing Systems, LLC, </t>
  </si>
  <si>
    <t>--- F.Supp.2d ----, 2011 WL 3702423, D.N.J., August 22, 2011 (NO. CIV.A. 08-5489 FLW)</t>
  </si>
  <si>
    <t>Breyer authored. Alito joined</t>
  </si>
  <si>
    <t xml:space="preserve">Campfield v. Tanner, </t>
  </si>
  <si>
    <t>Slip Copy, 2011 WL 4368723, E.D.La., August 16, 2011 (NO. CIV.A. 10-1151)</t>
  </si>
  <si>
    <t xml:space="preserve">Sonic Automotive, Inc. v. Price, </t>
  </si>
  <si>
    <t>Slip Copy, 2011 WL 3564884, W.D.N.C., August 12, 2011 (NO. 3:10-CV-382)</t>
  </si>
  <si>
    <t xml:space="preserve">U.S. v. Franklin, </t>
  </si>
  <si>
    <t>Not Reported in F.Supp.2d, 2011 WL 3424448, C.D.Cal., August 05, 2011 (NO. CR 07-967 PSG)</t>
  </si>
  <si>
    <t xml:space="preserve">Goodman v. Port Authority of New York and New Jersey, </t>
  </si>
  <si>
    <t>Slip Copy, 2011 WL 3423800, S.D.N.Y., August 04, 2011 (NO. 10 CIV. 8352)</t>
  </si>
  <si>
    <t xml:space="preserve">Rhodes v. Varano, </t>
  </si>
  <si>
    <t>Slip Copy, 2011 WL 3290360, E.D.Pa., July 29, 2011 (NO. CIV. 08-3236)</t>
  </si>
  <si>
    <t xml:space="preserve">Steinman v. Kerestes, </t>
  </si>
  <si>
    <t>Slip Copy, 2011 WL 3862075, E.D.Pa., July 29, 2011 (NO. CIV.A. 10-2398)</t>
  </si>
  <si>
    <t xml:space="preserve">Freedom from Religion Foundation, Inc. v. Perry, </t>
  </si>
  <si>
    <t>Slip Copy, 2011 WL 3269339, S.D.Tex., July 28, 2011 (NO. CIV.A. H-11-2585)</t>
  </si>
  <si>
    <t>p, m</t>
  </si>
  <si>
    <t xml:space="preserve">Freeman v. Thaler, </t>
  </si>
  <si>
    <t>Slip Copy, 2011 WL 3156282, N.D.Tex., July 25, 2011 (NO. 4:07-CV-176-Y)</t>
  </si>
  <si>
    <t xml:space="preserve">Abarca Health, LLC v. PharmPix Corp., </t>
  </si>
  <si>
    <t>--- F.Supp.2d ----, 2011 WL 3802650, D.Puerto Rico, July 22, 2011 (NO. CIV. 11-1218 BJM)</t>
  </si>
  <si>
    <t xml:space="preserve">U.S. v. Oliveira, </t>
  </si>
  <si>
    <t>--- F.Supp.2d ----, 2011 WL 2909816, D.Mass., July 21, 2011 (NO. 08CR10104-NG)</t>
  </si>
  <si>
    <t xml:space="preserve">Embody v. Ward, </t>
  </si>
  <si>
    <t>Slip Copy, 2011 WL 2971055, M.D.Tenn., July 20, 2011 (NO. 3:10CV-00126)</t>
  </si>
  <si>
    <t xml:space="preserve">Center for Individual Freedom, Inc. v. Tennant, </t>
  </si>
  <si>
    <t>--- F.Supp.2d ----, 2011 WL 2912735, S.D.W.Va., July 18, 2011 (NO. 1:08-CV-00190, 1:08-CV-01133)</t>
  </si>
  <si>
    <t>opinion authored by Roberts. Joined by Alito</t>
  </si>
  <si>
    <t xml:space="preserve">Obomighie v. U.S., </t>
  </si>
  <si>
    <t>Slip Copy, 2011 WL 2938218, D.Md., July 18, 2011 (NO. CIV. ELH-11-746, CRIM. HFM-91-391)</t>
  </si>
  <si>
    <t xml:space="preserve">U.S. v. Dass, </t>
  </si>
  <si>
    <t>Slip Copy, 2011 WL 2746181, D.Minn., July 14, 2011 (NO. CRIM. 05-140 (3) JRT)</t>
  </si>
  <si>
    <t xml:space="preserve">U.S. v. Chapa, </t>
  </si>
  <si>
    <t>--- F.Supp.2d ----, 2011 WL 2730910, N.D.Ga., July 12, 2011 (NO. 1:05-CR-254-3)</t>
  </si>
  <si>
    <t>Slip Copy, 2011 WL 4347052, E.D.Tex., July 11, 2011 (NO. 5:08-CV-155)</t>
  </si>
  <si>
    <t xml:space="preserve">Stowe v. National R.R. Passenger Corp., </t>
  </si>
  <si>
    <t>--- F.Supp.2d ----, 2011 WL 2516939, E.D.N.Y., June 23, 2011 (NO. 08-CV-4767 RER)</t>
  </si>
  <si>
    <t>Souter opinion joined by Alito</t>
  </si>
  <si>
    <t xml:space="preserve">Chahua v. Astrue, </t>
  </si>
  <si>
    <t>Slip Copy, 2011 WL 2491232, D.N.J., June 21, 2011 (NO. CIV. 10-4093)</t>
  </si>
  <si>
    <t xml:space="preserve">Chisler v. Johnston, </t>
  </si>
  <si>
    <t>--- F.Supp.2d ----, 2011 WL 2457907, W.D.Pa., June 16, 2011 (NO. CIV. 09-1282)</t>
  </si>
  <si>
    <t xml:space="preserve">Garrison v. Gryler, </t>
  </si>
  <si>
    <t>Slip Copy, 2011 WL 3236181, E.D.Wash., June 13, 2011 (NO. 2:09-CV-349-JPH)</t>
  </si>
  <si>
    <t xml:space="preserve">Golb v. Martin, </t>
  </si>
  <si>
    <t>Slip Copy, 2011 WL 3511482, E.D.Tex., June 13, 2011 (NO. 1:09CV7)</t>
  </si>
  <si>
    <t xml:space="preserve">Rippetoe v. Roy, </t>
  </si>
  <si>
    <t>Slip Copy, 2011 WL 2652131, E.D.Tex., June 09, 2011 (NO. 5:08-CV-210)</t>
  </si>
  <si>
    <t xml:space="preserve">Hasan v. Ishee, </t>
  </si>
  <si>
    <t>Slip Copy, 2011 WL 2213955, S.D.Ohio, June 07, 2011 (NO. 1:03-CV-288)</t>
  </si>
  <si>
    <t xml:space="preserve">Ellis v. U.S., </t>
  </si>
  <si>
    <t>--- F.Supp.2d ----, 2011 WL 3664658, E.D.N.Y., June 03, 2011 (NO. 10 CIV. 4017 BMC)</t>
  </si>
  <si>
    <t xml:space="preserve">Raher v. Federal Bureau of Prisons, </t>
  </si>
  <si>
    <t>Slip Copy, 2011 WL 2014875, D.Or., May 24, 2011 (NO. CV-09-526-ST)</t>
  </si>
  <si>
    <t xml:space="preserve">Osterweil v. Bartlett, </t>
  </si>
  <si>
    <t>Slip Copy, 2011 WL 1983340, N.D.N.Y., May 20, 2011 (NO. 1:09-CV-825 MAD DRH)</t>
  </si>
  <si>
    <t xml:space="preserve">In re Falch, </t>
  </si>
  <si>
    <t>450 B.R. 88, 2011 WL 2162906, Bkrtcy.E.D.Pa., May 18, 2011 (NO. BR 10-19993 ELF)</t>
  </si>
  <si>
    <t xml:space="preserve">Newton v. City of New York, </t>
  </si>
  <si>
    <t>--- F.Supp.2d ----, 2011 WL 1833184, S.D.N.Y., May 12, 2011 (NO. 07 CIV. 6211 SAS)</t>
  </si>
  <si>
    <t xml:space="preserve">Monarch Life Ins. Co. v. Estate of Tarone, </t>
  </si>
  <si>
    <t>Slip Copy, 2011 WL 1813665, E.D.Pa., May 10, 2011 (NO. CIV.A. 09-734)</t>
  </si>
  <si>
    <t xml:space="preserve">In re First Street Mart, Inc., </t>
  </si>
  <si>
    <t>450 B.R. 581, 2011 WL 1564068, Bkrtcy.M.D.N.C., April 26, 2011 (NO. 10-50580)</t>
  </si>
  <si>
    <t xml:space="preserve">Cotton v. Keffer, </t>
  </si>
  <si>
    <t>Slip Copy, 2011 WL 3611489, N.D.Tex., April 25, 2011 (NO. 4:10-CV-545-Y)</t>
  </si>
  <si>
    <t xml:space="preserve">Newton v. LePage, </t>
  </si>
  <si>
    <t>--- F.Supp.2d ----, 2011 WL 1532280, D.Me., April 22, 2011 (NO. 1:11-CV-00124-JAW)</t>
  </si>
  <si>
    <t xml:space="preserve">Burgess v. Astrue, </t>
  </si>
  <si>
    <t>Slip Copy, 2011 WL 1828377, S.D.Tex., April 21, 2011 (NO. CA C-10-371)</t>
  </si>
  <si>
    <t xml:space="preserve">H. v. Easton Area School Dist., </t>
  </si>
  <si>
    <t>--- F.Supp.2d ----, 2011 WL 1376141, E.D.Pa., April 12, 2011 (NO. CIV.A. 10-6283)</t>
  </si>
  <si>
    <t xml:space="preserve">m, c </t>
  </si>
  <si>
    <t xml:space="preserve">U.S. v. Laguna, </t>
  </si>
  <si>
    <t>Slip Copy, 2011 WL 1357538, N.D.Ill., April 11, 2011 (NO. 10 CR 342)</t>
  </si>
  <si>
    <t xml:space="preserve">U.S. v. Diaz-Palmerin, </t>
  </si>
  <si>
    <t>Slip Copy, 2011 WL 1337326, N.D.Ill., April 05, 2011 (NO. 08-CR-777-3)</t>
  </si>
  <si>
    <t xml:space="preserve">Garden City Employees' Retirement System v. Anixter Intern., Inc., </t>
  </si>
  <si>
    <t>Slip Copy, 2011 WL 1303387, Fed. Sec. L. Rep. P 96,291, N.D.Ill., March 31, 2011 (NO. 09-CV-5641)</t>
  </si>
  <si>
    <t xml:space="preserve">Mendoza v. U.S., </t>
  </si>
  <si>
    <t>774 F.Supp.2d 791, 2011 WL 1226475, E.D.Va., March 24, 2011 (NO. 1:01CR214)</t>
  </si>
  <si>
    <t xml:space="preserve">White v. Beard, </t>
  </si>
  <si>
    <t>Slip Copy, 2011 WL 2135554, E.D.Pa., March 22, 2011 (NO. CIV.A. 10-547)</t>
  </si>
  <si>
    <t>m, m, m</t>
  </si>
  <si>
    <t xml:space="preserve">Fenza's Auto, Inc. v. Montagnaro's, Inc., </t>
  </si>
  <si>
    <t>Slip Copy, 2011 WL 1098993, D.N.J., March 21, 2011 (NO. CIV. 10-3336 RBK/JS)</t>
  </si>
  <si>
    <t xml:space="preserve">Alabama Education Ass'n v. Bentley, </t>
  </si>
  <si>
    <t>--- F.Supp.2d ----, 2011 WL 1484077, 190 L.R.R.M. (BNA) 2712, N.D.Ala., March 18, 2011 (NO. CV-11-S-761-NE)</t>
  </si>
  <si>
    <t>Roberts opinion joined by Alito</t>
  </si>
  <si>
    <t xml:space="preserve">Holman v. Student Loan Xpress, Inc., </t>
  </si>
  <si>
    <t>778 F.Supp.2d 1306, 2011 WL 940240, 22 Fla. L. Weekly Fed. D 589, 22 Fla. L. Weekly Fed. D 592, M.D.Fla., March 17, 2011 (NO. 8:08-CV-305-T-23MAP)</t>
  </si>
  <si>
    <t xml:space="preserve">Hopkins v. DeVeaux, </t>
  </si>
  <si>
    <t>781 F.Supp.2d 1283, 2011 WL 938298, N.D.Ga., March 16, 2011 (NO. 1:10-CV-0572-JEC)</t>
  </si>
  <si>
    <t xml:space="preserve">U.S. v. Aguiar, </t>
  </si>
  <si>
    <t>Slip Copy, 2011 WL 976496, D.Vt., March 16, 2011 (NO. 2:09-CR-00090)</t>
  </si>
  <si>
    <t xml:space="preserve">Greene v. Lafler, </t>
  </si>
  <si>
    <t>Slip Copy, 2011 WL 947068, E.D.Mich., March 15, 2011 (NO. 2:09-CV-14597)</t>
  </si>
  <si>
    <t xml:space="preserve">A &amp; L Industries, Inc. v. CDM Technical Training Institute, Inc., </t>
  </si>
  <si>
    <t>Slip Copy, 2011 WL 915298, D.N.J., March 14, 2011 (NO. CIV.A. 10-3636 PGS)</t>
  </si>
  <si>
    <t xml:space="preserve">In re Packaged Ice Antitrust Litigation, </t>
  </si>
  <si>
    <t>779 F.Supp.2d 642, 2011 WL 891169, 2011-1 Trade Cases P 77,496, E.D.Mich., March 11, 2011 (NO. 08-MD-01952)</t>
  </si>
  <si>
    <t xml:space="preserve">Ginsberg opinion joined by Alito. </t>
  </si>
  <si>
    <t xml:space="preserve">Zapata-Banda v. U.S., </t>
  </si>
  <si>
    <t>Slip Copy, 2011 WL 1113586, S.D.Tex., March 07, 2011 (NO. CIV. B:10-256, CRIM. B:09-PO-2487)</t>
  </si>
  <si>
    <t>Really interesting point. Possible explanation for large number of Alito Concurrences being cited</t>
  </si>
  <si>
    <t xml:space="preserve">Kain v. City of Eden Prairie, </t>
  </si>
  <si>
    <t>Slip Copy, 2011 WL 797455, D.Minn., February 28, 2011 (NO. 10-1740 RHK JJK)</t>
  </si>
  <si>
    <t xml:space="preserve">Hilton v. Brown, </t>
  </si>
  <si>
    <t>Slip Copy, 2011 WL 1157687, S.D.N.Y., February 24, 2011 (NO. 07 CIV. 8611 GBD MHD)</t>
  </si>
  <si>
    <t xml:space="preserve">Wilson v. Workman, </t>
  </si>
  <si>
    <t>Slip Copy, 2011 WL 744661, N.D.Okla., February 23, 2011 (NO. 00-CV-0147-CVE-FHM)</t>
  </si>
  <si>
    <t xml:space="preserve">U.S. E.E.O.C. v. Chrysler Group, LLC, </t>
  </si>
  <si>
    <t>Slip Copy, 2011 WL 693642, 111 Fair Empl.Prac.Cas. (BNA) 1022, E.D.Wis., February 17, 2011 (NO. 08-C-1067)</t>
  </si>
  <si>
    <t xml:space="preserve">Leibstein v. LaFarge North America, Inc., </t>
  </si>
  <si>
    <t>767 F.Supp.2d 373, 2011 WL 499952, E.D.N.Y., February 14, 2011 (NO. CV-06-6460 DRH)</t>
  </si>
  <si>
    <t xml:space="preserve">CRG Partners, LLC v. U.S. Trustee, </t>
  </si>
  <si>
    <t>445 B.R. 667, 2011 WL 500049, N.D.Tex., February 14, 2011 (NO. 4:10-CV-688-Y)</t>
  </si>
  <si>
    <t xml:space="preserve">In re Theokary, </t>
  </si>
  <si>
    <t>444 B.R. 306, 2011 WL 576062, 65 Collier Bankr.Cas.2d 139, Bkrtcy.E.D.Pa., February 14, 2011 (NO. BR 07-11008 ELF, ADV 09-051)</t>
  </si>
  <si>
    <t xml:space="preserve">U.S. v. Gutierrez, </t>
  </si>
  <si>
    <t>Slip Copy, 2011 WL 649970, S.D.Tex., February 10, 2011 (NO. CR. C-06-380 4, C.A. NO. C-10-56)</t>
  </si>
  <si>
    <t>764 F.Supp.2d 230, 2011 WL 474738, D.Me., February 09, 2011 (NO. CRIM. 10-86-P-H)</t>
  </si>
  <si>
    <t xml:space="preserve">Haynes v. AT &amp; T Mobility, LLC, </t>
  </si>
  <si>
    <t>Slip Copy, 2011 WL 532218, 24 A.D. Cases 429, 42 NDLR P 179, M.D.Pa., February 08, 2011 (NO. 1:09-CV-450)</t>
  </si>
  <si>
    <t xml:space="preserve">Marroquin v. U.S., </t>
  </si>
  <si>
    <t>Slip Copy, 2011 WL 488985, S.D.Tex., February 04, 2011 (NO. CIV.A. M-10-156)</t>
  </si>
  <si>
    <t xml:space="preserve">A &amp; L Industries, Inc. v. CDM Technical Training Institue, Inc., </t>
  </si>
  <si>
    <t>Slip Copy, 2011 WL 900132, D.N.J., February 03, 2011 (NO. CIV.A. 10-3636 PGS E)</t>
  </si>
  <si>
    <t xml:space="preserve">Burdge v. Association Health Care Management, Inc., </t>
  </si>
  <si>
    <t>Slip Copy, 2011 WL 379159, S.D.Ohio, February 02, 2011 (NO. 1:10-CV-00100)</t>
  </si>
  <si>
    <t xml:space="preserve">In re Burnett, </t>
  </si>
  <si>
    <t>Slip Copy, 2011 WL 204907, 65 Collier Bankr.Cas.2d 193, Bkrtcy.N.D.N.Y., January 21, 2011 (NO. 10-31788, 10-31824)</t>
  </si>
  <si>
    <t xml:space="preserve">E.E.O.C. v. Aerotek, Inc., </t>
  </si>
  <si>
    <t>Slip Copy, 2011 WL 124266, N.D.Ill., January 12, 2011 (NO. 10 C 7109)</t>
  </si>
  <si>
    <t xml:space="preserve">footnote cite/ Roberts opinion joined by Alito. </t>
  </si>
  <si>
    <t xml:space="preserve">Doan v. U.S., </t>
  </si>
  <si>
    <t>760 F.Supp.2d 602, 2011 WL 116811, E.D.Va., January 04, 2011 (NO. 1:06CR463, 1:08CV959, 1:06CR525, 1:08CV958)</t>
  </si>
  <si>
    <t xml:space="preserve">In re Domiano, </t>
  </si>
  <si>
    <t>442 B.R. 97, 2010 WL 5300932, 65 Collier Bankr.Cas.2d 530, Bkrtcy.M.D.Pa., December 28, 2010 (NO. 5-08-BK-51563 RNO)</t>
  </si>
  <si>
    <t xml:space="preserve">Dickson v. Kerestes, </t>
  </si>
  <si>
    <t>Slip Copy, 2010 WL 5677945, E.D.Pa., December 21, 2010 (NO. CIV.A. 10-267)</t>
  </si>
  <si>
    <t xml:space="preserve">Carnes v. IndyMac Mortg. Services, </t>
  </si>
  <si>
    <t>Slip Copy, 2010 WL 5276987, D.Minn., December 17, 2010 (NO. CIV. 10-3005 RHK SRN)</t>
  </si>
  <si>
    <t>Slip Copy, 2010 WL 5862994, M.D.Pa., December 13, 2010 (NO. CIV.A. 3:08-1110)</t>
  </si>
  <si>
    <t xml:space="preserve">Barabin v. AstenJohnson, Inc., </t>
  </si>
  <si>
    <t>Slip Copy, 2010 WL 5137898, W.D.Wash., December 10, 2010 (NO. C07-1454 RSL)</t>
  </si>
  <si>
    <t>Slip Copy, 2010 WL 5141733, D.N.J., December 10, 2010 (NO. CIV 10-920 JBS)</t>
  </si>
  <si>
    <t xml:space="preserve">RHJ Medical Center, Inc. v. City of DuBois, </t>
  </si>
  <si>
    <t>754 F.Supp.2d 723, 2010 WL 4959879, 78 Fed.R.Serv.3d 112, W.D.Pa., December 07, 2010 (NO. CIV.A. 3:09-131)</t>
  </si>
  <si>
    <t xml:space="preserve">Perez v. Live Oak County, </t>
  </si>
  <si>
    <t>Slip Copy, 2010 WL 5067662, S.D.Tex., December 06, 2010 (NO. CA C-10-001)</t>
  </si>
  <si>
    <t xml:space="preserve">Tirado v. U.S., </t>
  </si>
  <si>
    <t>Slip Copy, 2010 WL 5678680, S.D.Fla., December 03, 2010 (NO. 09-81532-CIV)</t>
  </si>
  <si>
    <t xml:space="preserve">In re Proshares Trust Securities Litigation, </t>
  </si>
  <si>
    <t>Not Reported in F.Supp.2d, 2010 WL 4967988, S.D.N.Y., December 01, 2010 (NO. 10 CIV 3042 JGK, 09 CIV 6935 JGK)</t>
  </si>
  <si>
    <t xml:space="preserve">Soreide v. Zickefoose, </t>
  </si>
  <si>
    <t>Slip Copy, 2010 WL 4878744, D.N.J., November 23, 2010 (NO. CIV.A. 10-2452 RMB)</t>
  </si>
  <si>
    <t xml:space="preserve">U.S. v. Huet, </t>
  </si>
  <si>
    <t>Slip Copy, 2010 WL 4853847, W.D.Pa., November 22, 2010 (NO. CRIM. 08-0215)</t>
  </si>
  <si>
    <t xml:space="preserve">Weeks v. U.S., </t>
  </si>
  <si>
    <t>Slip Copy, 2010 WL 4854063, M.D.Fla., November 22, 2010 (NO. 8:09-CV-1173-T-24, 8:94-CR-65-T-24)</t>
  </si>
  <si>
    <t xml:space="preserve">Herr v. Peterson, </t>
  </si>
  <si>
    <t>751 F.Supp.2d 1093, 2010 WL 4720262, D.Minn., November 16, 2010 (NO. CIV. 09-2741)</t>
  </si>
  <si>
    <t xml:space="preserve">In re Saint Vincent's Catholic Medical Centers of New York, </t>
  </si>
  <si>
    <t>440 B.R. 587, 2010 WL 4553542, 53 Bankr.Ct.Dec. 257, Bkrtcy.S.D.N.Y., November 12, 2010 (NO. ADV 10-03281, 10-11963)</t>
  </si>
  <si>
    <t xml:space="preserve">Ciota v. U.S., </t>
  </si>
  <si>
    <t>Not Reported in F.Supp.2d, 2010 WL 4683985, C.D.Ill., November 10, 2010 (NO. 10-CV-2031)</t>
  </si>
  <si>
    <t xml:space="preserve">Bourne v. Belleque, </t>
  </si>
  <si>
    <t>Slip Copy, 2010 WL 5071226, D.Or., November 08, 2010 (NO. CIV 08-1314-PK)</t>
  </si>
  <si>
    <t xml:space="preserve">Masterman v. U.S., </t>
  </si>
  <si>
    <t>Slip Copy, 2010 WL 4366156, E.D.Cal., October 27, 2010 (NO. 1:96-CR-05306-OWW)</t>
  </si>
  <si>
    <t xml:space="preserve">Clinton Plumbing and Heating of Trenton, Inc. v. Ciaccio, </t>
  </si>
  <si>
    <t>Slip Copy, 2010 WL 4224473, E.D.Pa., October 22, 2010 (NO. CIV. 09-2751)</t>
  </si>
  <si>
    <t xml:space="preserve">In re Telfair, </t>
  </si>
  <si>
    <t>745 F.Supp.2d 536, 2010 WL 4062223, D.N.J., October 15, 2010 (NO. 10-2958 GEB)</t>
  </si>
  <si>
    <t xml:space="preserve">Yohe v. Marshall, </t>
  </si>
  <si>
    <t>Slip Copy, 2010 WL 4027797, D.Mass., October 14, 2010 (NO. CIV.A. 08-10922-MBB)</t>
  </si>
  <si>
    <t xml:space="preserve">Briar Meadows Developments, Inc. v. South Centre Tp. Bd. of Sup'rs, </t>
  </si>
  <si>
    <t>Slip Copy, 2010 WL 4024775, M.D.Pa., October 13, 2010 (NO. 10-CV-1012)</t>
  </si>
  <si>
    <t xml:space="preserve">U.S. v. Ramirez-Fernandez, </t>
  </si>
  <si>
    <t>Slip Copy, 2010 WL 4024600, D.Me., October 12, 2010 (NO. 2:89-CR-00024-GZS, 2:10-CV-00392-GZS)</t>
  </si>
  <si>
    <t>kennedy opinion joined by Alito</t>
  </si>
  <si>
    <t xml:space="preserve">Dillbeck v. McNeil, </t>
  </si>
  <si>
    <t>Slip Copy, 2010 WL 3958639, N.D.Fla., October 07, 2010 (NO. 4:07-CV-388-SPM)</t>
  </si>
  <si>
    <t xml:space="preserve">Cartee v. Wilbur Smith Associates, Inc., </t>
  </si>
  <si>
    <t>Slip Copy, 2010 WL 5059643, D.S.C., October 06, 2010 (NO. C/A 3:08-4132)</t>
  </si>
  <si>
    <t>1. Lindsey v. Cargotec USA, Inc.</t>
  </si>
  <si>
    <t>Slip Copy, 2011 WL 4587583, W.D.Ky.</t>
  </si>
  <si>
    <t>Breyer concurring opinion joined by Alito</t>
  </si>
  <si>
    <t>Lindsey v. Cargotec USA, Inc.</t>
  </si>
  <si>
    <t>Slip Copy, 2011 WL 4587583</t>
  </si>
  <si>
    <t>Jeter v. Secretary, Dept. of Corrections</t>
  </si>
  <si>
    <t>--- F.Supp.2d ----, 2011 WL 4551480
N.D.Fla.,2011</t>
  </si>
  <si>
    <t xml:space="preserve">Sykes v. U.S., </t>
  </si>
  <si>
    <t>131 S.Ct. 2267, 2011 WL 2224437, 180 L.Ed.2d 60, 79 USLW 4428, 11 Cal. Daily Op. Serv. 6991, 2011 Daily Journal D.A.R. 8397, 22 Fla. L. Weekly Fed. S 1084, U.S., June 09, 2011 (NO. 09-11311)</t>
  </si>
  <si>
    <t xml:space="preserve">U.S. v. C.R., </t>
  </si>
  <si>
    <t>--- F.Supp.2d ----, 2011 WL 1901645, E.D.N.Y., May 16, 2011 (NO. 09-CR-155)</t>
  </si>
  <si>
    <t>Law Review article written by Alito cited in this case.</t>
  </si>
  <si>
    <t xml:space="preserve">U.S. v. Williamson, </t>
  </si>
  <si>
    <t>Slip Copy, 2011 WL 3328491, C.A.4, August 03, 2011 (NO. 08-4055)</t>
  </si>
  <si>
    <t xml:space="preserve">Shelby County, Ala. v. Holder, </t>
  </si>
  <si>
    <t>--- F.Supp.2d ----, 2011 WL 4375001, D.D.C., September 21, 2011 (NO. CIV.A. 10-0651 JDB)</t>
  </si>
  <si>
    <t xml:space="preserve">Countryman v. Nevada, </t>
  </si>
  <si>
    <t>Slip Copy, 2011 WL 3472539, D.Nev., June 27, 2011 (NO. 3:10-CV-00107-LRH)</t>
  </si>
  <si>
    <t xml:space="preserve">Powell v. Smith, </t>
  </si>
  <si>
    <t>Slip Copy, 2011 WL 3425641, D.Nev., June 16, 2011 (NO. 3:10-CV-619-ECR RAM)</t>
  </si>
  <si>
    <t xml:space="preserve">Kamedula v. Bannister, </t>
  </si>
  <si>
    <t>Slip Copy, 2011 WL 2711228, D.Nev., June 14, 2011 (NO. 3:10-CV-00160-ECR)</t>
  </si>
  <si>
    <t xml:space="preserve">Knox v. Creon, </t>
  </si>
  <si>
    <t>Slip Copy, 2011 WL 2680535, D.Nev., June 01, 2011 (NO. 3:09-CV-559-HDM RAM)</t>
  </si>
  <si>
    <t>dateDecision</t>
  </si>
  <si>
    <t>term</t>
  </si>
  <si>
    <t>naturalCourt</t>
  </si>
  <si>
    <t>docket</t>
  </si>
  <si>
    <t>caseName</t>
  </si>
  <si>
    <t>majVotes</t>
  </si>
  <si>
    <t>minVotes</t>
  </si>
  <si>
    <t>justiceName</t>
  </si>
  <si>
    <t>131 S. Ct. 746</t>
  </si>
  <si>
    <t>178 L. Ed. 2d 667</t>
  </si>
  <si>
    <t>2011 U.S. LEXIS 911</t>
  </si>
  <si>
    <t>09-530</t>
  </si>
  <si>
    <t>NATIONAL AERONAUTICS AND SPACE ADMINISTRATION, et al., PETITIONERS v. ROBERT M. NELSON et al.</t>
  </si>
  <si>
    <t>2011 U.S. LEXIS 1901</t>
  </si>
  <si>
    <t>09-1036</t>
  </si>
  <si>
    <t>DORETHA H. HENDERSON, AUTHORIZED REPRESENTATIVE OF DAVID L. HENDERSON, DECEASED, PETITIONER v. ERIC K. SHINESKI, SECRETARY OF VETERANS AFFAIRS</t>
  </si>
  <si>
    <t>2011 U.S. LEXIS 1906</t>
  </si>
  <si>
    <t>09-868</t>
  </si>
  <si>
    <t>ASHBEL T. WALL, II, DIRECTOR, RHODE ISLAND DEPARTMENT OF CORRECTIONS, PETITIONER v. KHALIL KHOLI</t>
  </si>
  <si>
    <t>179 L. Ed. 2d 865</t>
  </si>
  <si>
    <t>2011 U.S. LEXIS 3541</t>
  </si>
  <si>
    <t>09-1272</t>
  </si>
  <si>
    <t>KENTUCKY, PETITIONER, v. HOLLIS DESHAUN KING</t>
  </si>
  <si>
    <t>2011 U.S. LEXIS 4022</t>
  </si>
  <si>
    <t>10-6</t>
  </si>
  <si>
    <t>GLOBAL-TECH APPLIANCES, INC., et al., PETITIONERS v. SEB S.A.</t>
  </si>
  <si>
    <t>2011 U.S. LEXIS 4381</t>
  </si>
  <si>
    <t>10-382</t>
  </si>
  <si>
    <t>UNITED STATES, PETITIONER v. JICARILLA APACHE NATION</t>
  </si>
  <si>
    <t>2011 U.S. LEXIS 4560</t>
  </si>
  <si>
    <t>09-11328</t>
  </si>
  <si>
    <t>WILLIE GENE DAVIS, PETITIONER v. UNITED STATES</t>
  </si>
  <si>
    <t>2011 U.S. LEXIS 1903</t>
  </si>
  <si>
    <t>09-751</t>
  </si>
  <si>
    <t>ALBERT SNYDER, PETITIONER v. FRED W. PHELPS, SR., et al.</t>
  </si>
  <si>
    <t>2011 U.S. LEXIS 1902</t>
  </si>
  <si>
    <t>09-6822</t>
  </si>
  <si>
    <t>JASON PEPPER, PETITIONER v. UNITED STATES</t>
  </si>
  <si>
    <t>2011 U.S. LEXIS 4012</t>
  </si>
  <si>
    <t>09-1233</t>
  </si>
  <si>
    <t>EDMUND G. BROWN, JR., GOVERNOR OF CALIFORNIA, et al., APPELLANTS v. MARCIANO PLATA et al.</t>
  </si>
  <si>
    <t>2011 U.S. LEXIS 4019</t>
  </si>
  <si>
    <t>10-5443</t>
  </si>
  <si>
    <t>CHARLES ANDREW FOWLER, AKA MAN, PETITIONER v. UNITED STATES</t>
  </si>
  <si>
    <t>2011 U.S. LEXIS 4557</t>
  </si>
  <si>
    <t>09-11121</t>
  </si>
  <si>
    <t>JDB, PETITIONER v. NORTH CAROLINA</t>
  </si>
  <si>
    <t>2011 U.S. LEXIS 2101</t>
  </si>
  <si>
    <t>09-1163</t>
  </si>
  <si>
    <t>GLEN SCOTT MILNER, PETITIONER v. DEPARTMENT OF THE NAVY</t>
  </si>
  <si>
    <t>2011 U.S. LEXIS 2616</t>
  </si>
  <si>
    <t>09-1088</t>
  </si>
  <si>
    <t>VINCENT CULLEN, ACTING WARDEN, PETITIONER v. SCOTT LYNN PINHOLSTER</t>
  </si>
  <si>
    <t>2011 U.S. LEXIS 4565</t>
  </si>
  <si>
    <t>10-174</t>
  </si>
  <si>
    <t>AMERICAN ELECTRIC POWER COMPANY, INC., et al., PETITIONERS v. CONNECTICUT ET AL</t>
  </si>
  <si>
    <t>2011 U.S. LEXIS 1900</t>
  </si>
  <si>
    <t>09-400</t>
  </si>
  <si>
    <t>VINCENT E. STAUB, PETITIONER v. PROCTOR HOSPITAL</t>
  </si>
  <si>
    <t>2011 U.S. LEXIS 4379</t>
  </si>
  <si>
    <t>10-568</t>
  </si>
  <si>
    <t>NEVADA COMMISSION ON ETHICS, PETITIONER v. MICHAEL A. CARRIGAN</t>
  </si>
  <si>
    <t>2011 U.S. LEXIS 4802</t>
  </si>
  <si>
    <t>08-1448</t>
  </si>
  <si>
    <t>EDMUND G. BROWN, JR., GOVERNOR OF CALIFORNIA, et al., PETITIONERS v. ENTERTAINMENT MERCHANTS ASSOCIATION et al.</t>
  </si>
  <si>
    <t>131 S. Ct. 13</t>
  </si>
  <si>
    <t>178 L. Ed. 2d 276</t>
  </si>
  <si>
    <t>2010 U.S. LEXIS 8663</t>
  </si>
  <si>
    <t>10-91</t>
  </si>
  <si>
    <t>BILL K. WILSON, SUPERINTENDENT, INDIANA STATE PRISON, PETITIONER v. JOSEPH E. CORCORAN</t>
  </si>
  <si>
    <t>131 S. Ct. 18</t>
  </si>
  <si>
    <t>178 L. Ed. 2d 348</t>
  </si>
  <si>
    <t>2010 U.S. LEXIS 9008</t>
  </si>
  <si>
    <t>09-479</t>
  </si>
  <si>
    <t>KEVIN ABBOTT, PETITIONER v. UNITED STATES</t>
  </si>
  <si>
    <t>131 S. Ct. 447</t>
  </si>
  <si>
    <t>178 L. Ed. 2d 460</t>
  </si>
  <si>
    <t>2010 U.S. LEXIS 9444</t>
  </si>
  <si>
    <t>09-350</t>
  </si>
  <si>
    <t>LOS ANGELES COUNTY, CALIFORNIA, PETITIONER v. CRAIG ARTHUR HUMPHRIES et al.</t>
  </si>
  <si>
    <t>178 L. Ed. 2d 588</t>
  </si>
  <si>
    <t>2011 U.S. LEXIS 609</t>
  </si>
  <si>
    <t>09-837</t>
  </si>
  <si>
    <t>MAYO FOUNDATION FOR MEDICAL EDUCATION AND RESEARCH, et al., PETITIONERS v. UNITED STATES</t>
  </si>
  <si>
    <t>131 S. Ct. 716</t>
  </si>
  <si>
    <t>178 L. Ed. 2d 603</t>
  </si>
  <si>
    <t>2011 U.S. LEXIS 608</t>
  </si>
  <si>
    <t>09-907</t>
  </si>
  <si>
    <t>JASON M. RANSOM, PETITIONER v. FIA CARD SERVICES, N.A., FKA MBNA AMERICA BANK, N.A.</t>
  </si>
  <si>
    <t>2011 U.S. LEXIS 912</t>
  </si>
  <si>
    <t>09-587</t>
  </si>
  <si>
    <t>KELLY HARRINGTON, WARDEN, PETITIONER, v. JOSHUA RICHTER</t>
  </si>
  <si>
    <t>131 S. Ct. 733</t>
  </si>
  <si>
    <t>178 L. Ed. 2d 649</t>
  </si>
  <si>
    <t>2011 U.S. LEXIS 910</t>
  </si>
  <si>
    <t>09-658</t>
  </si>
  <si>
    <t>JEFF PREMO, SUPERINTENDENT, OREGON STATE PENITENTIARY, PETITIONER v. RANDY JOSEPH MOORE</t>
  </si>
  <si>
    <t>131 S. Ct. 871</t>
  </si>
  <si>
    <t>178 L. Ed. 2d 716</t>
  </si>
  <si>
    <t>2011 U.S. LEXIS 914</t>
  </si>
  <si>
    <t>09-329</t>
  </si>
  <si>
    <t>CHASE BANK USA, NA., PETITIONER v. JAMES A. MCCOY, INDIVIDUALLY AND ON BEHALF OF ALL OTHERS SIMILARLY SITUATED</t>
  </si>
  <si>
    <t>131 S. Ct. 884</t>
  </si>
  <si>
    <t>178 L. Ed. 2d 703</t>
  </si>
  <si>
    <t>2011 U.S. LEXIS 915</t>
  </si>
  <si>
    <t>09-737</t>
  </si>
  <si>
    <t>MICHELLE ORITZ, PETITIONER v. PAULA JORDAN et al.</t>
  </si>
  <si>
    <t>131 S. Ct. 863</t>
  </si>
  <si>
    <t>178 L. Ed. 2d 694</t>
  </si>
  <si>
    <t>2011 U.S. LEXIS 913</t>
  </si>
  <si>
    <t>09-291</t>
  </si>
  <si>
    <t>ERIC L. THOMPSON, PETITIONER v. NORTH AMERICAN STAINLESS, LP</t>
  </si>
  <si>
    <t>179 L. Ed. 2d 1</t>
  </si>
  <si>
    <t>2011 U.S. LEXIS 1085</t>
  </si>
  <si>
    <t>09-152</t>
  </si>
  <si>
    <t>RUSSEL BRUESEWITZ, et al. PETITIONERS v. WYETH LLC, FKA WYETH, INC., FKA WYETH LABORATORIES, et al.</t>
  </si>
  <si>
    <t>179 L. Ed. 2d 37</t>
  </si>
  <si>
    <t>2011 U.S. LEXIS 1084</t>
  </si>
  <si>
    <t>09-520</t>
  </si>
  <si>
    <t>CSX TRANSPORTATION, INC., PETITIONER v. ALABAMA DEPARTMENT OF REVENUE et al.</t>
  </si>
  <si>
    <t>179 L. Ed. 2d 62</t>
  </si>
  <si>
    <t>2011 U.S. LEXIS 1712</t>
  </si>
  <si>
    <t>09-996</t>
  </si>
  <si>
    <t>JAMES WALKER, WARDEN, et al., PETITIONERS v. CHARLES W. MARTIN</t>
  </si>
  <si>
    <t>179 L. Ed. 2d 75</t>
  </si>
  <si>
    <t>2011 U.S. LEXIS 1711</t>
  </si>
  <si>
    <t>08-1314</t>
  </si>
  <si>
    <t>DELBERT WILLIAMSON, et al., PETITIONERS v. MAZDA MOTOR OF AMERICA, INC., et al.</t>
  </si>
  <si>
    <t>2011 U.S. LEXIS 1713</t>
  </si>
  <si>
    <t>09-150</t>
  </si>
  <si>
    <t>MICHIGAN, PETITIONER v. RICHARD PERRY BRYANT</t>
  </si>
  <si>
    <t>2011 U.S. LEXIS 1899</t>
  </si>
  <si>
    <t>09-1279</t>
  </si>
  <si>
    <t>FEDERAL COMMUNICATIONS COMMISSION, et al., PETITIONERS v. AT&amp;T INC. et al.</t>
  </si>
  <si>
    <t>2011 U.S. LEXIS 1905</t>
  </si>
  <si>
    <t>09-9000</t>
  </si>
  <si>
    <t>HENRY W. SKINNER, PETITIONER v. LYNN SWITZER, DISTRICT ATTORNEY FOR THE 31ST JUDICIAL DISTRICT OF TEXAS</t>
  </si>
  <si>
    <t>2011 U.S. LEXIS 2417</t>
  </si>
  <si>
    <t>09-834</t>
  </si>
  <si>
    <t>KEVIN KASTEN, PETITIONER v. SAINT-GOBAIN PERFORMANCE PLASTICS CORPORATION</t>
  </si>
  <si>
    <t>2011 U.S. LEXIS 2416</t>
  </si>
  <si>
    <t>09-1156</t>
  </si>
  <si>
    <t>MATRIXX INITIATIVES, INCL, et al., PETITIONERS v. JAMES SIRACUSANO et al.</t>
  </si>
  <si>
    <t>2011 U.S. LEXIS 2594</t>
  </si>
  <si>
    <t>09-571</t>
  </si>
  <si>
    <t>HARRY F. CONNICK, DISTRICT ATTORNEY, et al., PETITIONERS v. JOHN THOMPSON</t>
  </si>
  <si>
    <t>2011 U.S. LEXIS 2592</t>
  </si>
  <si>
    <t>09-1273</t>
  </si>
  <si>
    <t>ASTRA USA, INC., et al., PETITIONERS v. SANTA CLARA COUNTY, CALIFORNIA</t>
  </si>
  <si>
    <t>2011 U.S. LEXIS 2612</t>
  </si>
  <si>
    <t>09-987</t>
  </si>
  <si>
    <t>ARIZONA CHRISTIAN SCHOOL TUITION ORGANIZATION, PETITIONER v. KATHLEEN M. WINN et al.</t>
  </si>
  <si>
    <t>2011 U.S. LEXIS 3187</t>
  </si>
  <si>
    <t>08-1438</t>
  </si>
  <si>
    <t>HARVEY LEROY SOSSAMON, III, PETITIONER v. TEXAS et al.</t>
  </si>
  <si>
    <t>2011 U.S. LEXIS 3186</t>
  </si>
  <si>
    <t>09-529</t>
  </si>
  <si>
    <t>VIRGINIA OFFICE FOR PROTECTION AND ADVOCACY, PETITIONER v. JAMES W. STEWART III, COMMISSIONER, VIRGINIA DEPARTMENT OF BEHAVIORAL HEALTH AND DEVELOPMENTAL SERVICES, et al.</t>
  </si>
  <si>
    <t>2011 U.S. LEXIS 3369</t>
  </si>
  <si>
    <t>137, Orig.</t>
  </si>
  <si>
    <t>STATE OF MONTANA, PLAINTIFF v. STATE OF WYOMING AND STATE OF NORTH DAKOTA</t>
  </si>
  <si>
    <t>2011 U.S. LEXIS 3367</t>
  </si>
  <si>
    <t>09-893</t>
  </si>
  <si>
    <t>AT&amp;T MOBILITY LLC, PETITIONER v. VINCENT CONCEPTION ET UX</t>
  </si>
  <si>
    <t>2011 U.S. LEXIS 3366</t>
  </si>
  <si>
    <t>09-846</t>
  </si>
  <si>
    <t>UNITED STATES, PETITIONER v. TOHONO O'ODHAM NATION</t>
  </si>
  <si>
    <t>179 L. Ed. 2d 825</t>
  </si>
  <si>
    <t>2011 U.S. LEXIS 3542</t>
  </si>
  <si>
    <t>10-188</t>
  </si>
  <si>
    <t>SCHINDLER ELEVATOR CORPORATION, PETITIONER v. UNITED STATES ex rel. DANIEL KIRK</t>
  </si>
  <si>
    <t>179 L. Ed. 2d 843</t>
  </si>
  <si>
    <t>2011 U.S. LEXIS 3540</t>
  </si>
  <si>
    <t>09-804</t>
  </si>
  <si>
    <t>CIGNA CORPORATION, et al., PETITIONERS v. JANICE C. AMARA, et al., INDIVIDUALLY AND ON BEHALF OF ALL OTHERS SIMILARLY SITUATED</t>
  </si>
  <si>
    <t>2011 U.S. LEXIS 3830</t>
  </si>
  <si>
    <t>09-1298</t>
  </si>
  <si>
    <t>GENERAL DYNAMICS CORPORATION, PETITIONER, v. UNITED STATES</t>
  </si>
  <si>
    <t>2011 U.S. LEXIS 4018</t>
  </si>
  <si>
    <t>09-115</t>
  </si>
  <si>
    <t>CHAMBER OF COMMERCE OF THE UNITED STATES OF AMERICA, et al., PETITIONERS v. MICHAEL B. WHITING ET AL</t>
  </si>
  <si>
    <t>2011 U.S. LEXIS 4017</t>
  </si>
  <si>
    <t>09-1498</t>
  </si>
  <si>
    <t>UNITED STATES, PETITIONER v. JASON LOUIS TINKLENBERG</t>
  </si>
  <si>
    <t>2011 U.S. LEXIS 4016</t>
  </si>
  <si>
    <t>09-1454</t>
  </si>
  <si>
    <t>BOB CAMRETA, PETITIONER v. SARAH GREENE, PERSONALLY AND AS NEXT FRIEND OF S. G., A MINOR, AND K. G., A MINOR</t>
  </si>
  <si>
    <t>2011 U.S. LEXIS 4021</t>
  </si>
  <si>
    <t>10-98</t>
  </si>
  <si>
    <t>JOHN D. ASHCROFT, PETITIONER v. ABDULLAH AL-KIDD</t>
  </si>
  <si>
    <t>2011 U.S. LEXIS 4182</t>
  </si>
  <si>
    <t>10-114</t>
  </si>
  <si>
    <t>RICKY D FOX, PETITIONER v. JUDY ANN VICE, AS EXECUTRIX OF THE ESTATE OF VICE, et al.</t>
  </si>
  <si>
    <t>2011 U.S. LEXIS 4180</t>
  </si>
  <si>
    <t>10-5258</t>
  </si>
  <si>
    <t>CLIFTON TERELLE MCNEILL, PETITIONER v. UNITED STATES</t>
  </si>
  <si>
    <t>2011 U.S. LEXIS 4183</t>
  </si>
  <si>
    <t>09-1159</t>
  </si>
  <si>
    <t>BOARD OF TRUSTEES OF THE LELAND STANFORD JUNIOR UNIVERSITY, PETITIONER v. ROCHE MOLECULAR SYSTEMS, INC., et al.</t>
  </si>
  <si>
    <t>2011 U.S. LEXIS 4181</t>
  </si>
  <si>
    <t>09-1403</t>
  </si>
  <si>
    <t>ERICA P. JOHN FUND, INC., FKA ARCHDIOCESE OF MILWAUKEE SUPPORTING FUND, INC., PETITIONER v. HALLIBURTON CO., et al.</t>
  </si>
  <si>
    <t>2011 U.S. LEXIS 4376</t>
  </si>
  <si>
    <t>10-290</t>
  </si>
  <si>
    <t>MICROSOFT CORPORATION, PETITIONER v. I4I  LIMITED PARTNERSHIP et al.</t>
  </si>
  <si>
    <t>2011 U.S. LEXIS 4374</t>
  </si>
  <si>
    <t>09-1533</t>
  </si>
  <si>
    <t>FRANTZ DEPIERRE, PETITIONER v. UNITED STATES</t>
  </si>
  <si>
    <t>2011 U.S. LEXIS 4375</t>
  </si>
  <si>
    <t>10-313</t>
  </si>
  <si>
    <t>TALK AMERICA, PETITIONER v. MICHIGAN BELL TELEPHONE COMPANY DBA AT&amp;T MICHIGAN</t>
  </si>
  <si>
    <t>2011 U.S. LEXIS 4377</t>
  </si>
  <si>
    <t>09-11311</t>
  </si>
  <si>
    <t>MARCUS SYKES, PETITIONER v. UNITED STATES</t>
  </si>
  <si>
    <t>2011 U.S. LEXIS 4380</t>
  </si>
  <si>
    <t>09-525</t>
  </si>
  <si>
    <t>JANUS CAPITAL GROUP, INC., et al., PETITIONERS v. FIRST DERIVATIVE TRADERS</t>
  </si>
  <si>
    <t>2011 U.S. LEXIS 4558</t>
  </si>
  <si>
    <t>09-1227</t>
  </si>
  <si>
    <t>CAROL ANNE BOND, PETITIONER v. UNITED STATES</t>
  </si>
  <si>
    <t>2011 U.S. LEXIS 4559</t>
  </si>
  <si>
    <t>09-1205</t>
  </si>
  <si>
    <t>KEITH SMITH, et al., PETITIONERS v. BAYER CORPORATION</t>
  </si>
  <si>
    <t>2011 U.S. LEXIS 4556</t>
  </si>
  <si>
    <t>10-5400</t>
  </si>
  <si>
    <t>ALEJANDRA TAPIA, PETITIONER v. UNITED STATES</t>
  </si>
  <si>
    <t>2011 U.S. LEXIS 4567</t>
  </si>
  <si>
    <t>10-277</t>
  </si>
  <si>
    <t>WAL-MART STORES, INC. PETITIONER v. BETTY DUKES ET AL</t>
  </si>
  <si>
    <t>2011 U.S. LEXIS 4564</t>
  </si>
  <si>
    <t>09-1476</t>
  </si>
  <si>
    <t>BOROUGH OF DURYEA, PENNSYLVANIA, et al., PETITIONERS v. CHARLES J GUARNIERI</t>
  </si>
  <si>
    <t>2011 U.S. LEXIS 4566</t>
  </si>
  <si>
    <t>10-10</t>
  </si>
  <si>
    <t>MICHAEL D. TURNER, PETITIONER v. REBECCA L. ROGERS ET AL</t>
  </si>
  <si>
    <t>2011 U.S. LEXIS 4795</t>
  </si>
  <si>
    <t>10-235</t>
  </si>
  <si>
    <t>CSX TRANSPORTATION, INC., PETITIONER v. ROBERT MCBRIDE</t>
  </si>
  <si>
    <t>2011 U.S. LEXIS 4790</t>
  </si>
  <si>
    <t>09-10876</t>
  </si>
  <si>
    <t>DONALD BULLCOMING, PETITIONER v. NEW MEXICO</t>
  </si>
  <si>
    <t>2011 U.S. LEXIS 4793</t>
  </si>
  <si>
    <t>09-993</t>
  </si>
  <si>
    <t>PLIVIA, INC., et al., PETITIONERS v. GLADYS MENSING</t>
  </si>
  <si>
    <t>2011 U.S. LEXIS 4794</t>
  </si>
  <si>
    <t>10-779</t>
  </si>
  <si>
    <t>SORRELL, ATTORNEY GENERAL OF VERMONT, et al. v. IMS HEALTH INC. ET AL</t>
  </si>
  <si>
    <t>2011 U.S. LEXIS 4791</t>
  </si>
  <si>
    <t>10-179</t>
  </si>
  <si>
    <t>HOWARD K. STERN, EXECUTOR OF THE ESTATE OF VICKI LYNN MARSHALL, PETITIONER, v. ELAINE T. MARSHALL, EXECUTRIX OF THE ESTATE OF E. PIERCE MARSHALL</t>
  </si>
  <si>
    <t>2011 U.S. LEXIS 4801</t>
  </si>
  <si>
    <t>10-76</t>
  </si>
  <si>
    <t>GOODYEAR DUNLOP TIRES OPERATIONS, S.A., et al., PETITIONERS v. EDGAR D. BROWN ET UX., CO-ADMINISTRATORS OF THE ESTATE OF JULIAN DAVID BROWN, et al.</t>
  </si>
  <si>
    <t>131 S. Ct. 2806</t>
  </si>
  <si>
    <t>2011 U.S. LEXIS 4992</t>
  </si>
  <si>
    <t>10-238</t>
  </si>
  <si>
    <t>ARIZONA FREE ENTERPRISE CLUB'S FREEDOM CLUB PAC, et al., PETITIONERS v. KEN BENNETT, IN HIS OFFICIAL CAPACITY AS ARIZONA SECRETARY OF STATE, et al.</t>
  </si>
  <si>
    <t>131 S. Ct. 1387</t>
  </si>
  <si>
    <t>179 L. Ed. 2d 470</t>
  </si>
  <si>
    <t>2011 U.S. LEXIS 2593</t>
  </si>
  <si>
    <t>09-11556</t>
  </si>
  <si>
    <t>JOSE TOLENTINO, PETITIONER v. NEW YORK</t>
  </si>
  <si>
    <t>131 S. Ct. 565</t>
  </si>
  <si>
    <t>178 L. Ed. 2d 470</t>
  </si>
  <si>
    <t>2010 U.S. LEXIS 9597</t>
  </si>
  <si>
    <t>08-1423</t>
  </si>
  <si>
    <t>COSTCO WHOLESALE CORPORATION, PETITIONER V OMEGA, S.A.</t>
  </si>
  <si>
    <t>2011 U.S. LEXIS 4378</t>
  </si>
  <si>
    <t>09-5801</t>
  </si>
  <si>
    <t>RUBEN FLORES-VILLAR, PETITIONER v. UNITED STATES</t>
  </si>
  <si>
    <t>2011 U.S. LEXIS 4792</t>
  </si>
  <si>
    <t>09-10245</t>
  </si>
  <si>
    <t>FREEMAN v. UNITED STATES</t>
  </si>
  <si>
    <t>2011 U.S. LEXIS 4800</t>
  </si>
  <si>
    <t>09-1343</t>
  </si>
  <si>
    <t>J. MCINTYRE MACHINERY, LTD., PETITIONER v. ROBERT NICASTRO, INDIVIDUALLY AND AS ADMINISTRATOR OF THE ESTATE OF ROSEANNE NICASTRO</t>
  </si>
  <si>
    <t>131 S. Ct. 704</t>
  </si>
  <si>
    <t>178 L. Ed. 2d 587</t>
  </si>
  <si>
    <t>2011 U.S. LEXIS 16</t>
  </si>
  <si>
    <t>10-72</t>
  </si>
  <si>
    <t>MADISON COUNTY, NEW YORK et al.v. ONEIDA INDIAN NATION OF NEW YORK</t>
  </si>
  <si>
    <t>131 S. Ct. 859</t>
  </si>
  <si>
    <t>178 L. Ed. 2d 732</t>
  </si>
  <si>
    <t>2011 U.S. LEXIS 1067</t>
  </si>
  <si>
    <t>10-333</t>
  </si>
  <si>
    <t>GARY SWARTHOUT, WARDEN, v. DAMON COOKE; MATTHEW CATE, SECRETARY, CALIFORNIA DEPARTMENT OF CORRECTIONS AND REHABILITATION v. ELIJAH CLAY</t>
  </si>
  <si>
    <t>2011 U.S. LEXIS 2111</t>
  </si>
  <si>
    <t>10-797</t>
  </si>
  <si>
    <t>T. FELKNER v. STEVEN FRANK JACKSON</t>
  </si>
  <si>
    <t>2011 U.S. LEXIS 3368</t>
  </si>
  <si>
    <t>10-1000</t>
  </si>
  <si>
    <t>DAVID BOBBY, WARDEN, PETITIONER, v. HARRY MITTS</t>
  </si>
  <si>
    <t>2011 U.S. LEXIS 4799</t>
  </si>
  <si>
    <t>2011 U.S. LEXIS 5019</t>
  </si>
  <si>
    <t>115001</t>
  </si>
  <si>
    <t>HUMBERTO LEAL GARCIA, AKA HUMBERTO LEAL  V. TEXAS</t>
  </si>
  <si>
    <t>Harper v. Maverick Recording Co.</t>
  </si>
  <si>
    <t>562/1</t>
  </si>
  <si>
    <t>09-1031</t>
  </si>
  <si>
    <t>Wong v. Smith</t>
  </si>
  <si>
    <t>Mention in mandated removal of post from internet message board</t>
  </si>
  <si>
    <t>oral arg</t>
  </si>
  <si>
    <t>ORO</t>
  </si>
  <si>
    <t xml:space="preserve">Lindsey v. Cargotec USA, Inc., </t>
  </si>
  <si>
    <t xml:space="preserve">Hightower v. City of Boston, </t>
  </si>
  <si>
    <t xml:space="preserve">Jeter v. Secretary, Dept. of Corrections, </t>
  </si>
  <si>
    <t>Slip Copy, 2011 WL 4587583, Prod.Liab.Rep. (CCH) P 18,735, W.D.Ky., September 30, 2011 (NO. 4:09CV-00071-JHM)</t>
  </si>
  <si>
    <t>--- F.Supp.2d ----, 2011 WL 4543084, D.Mass., September 29, 2011 (NO. CIV.A. 08-11955-DJC)</t>
  </si>
  <si>
    <t>--- F.Supp.2d ----, 2011 WL 4551480, 23 Fla. L. Weekly Fed. D 109, N.D.Fla., September 29, 2011 (NO. 5:10CV189-RH/GRJ)</t>
  </si>
  <si>
    <t>*</t>
  </si>
  <si>
    <t xml:space="preserve">Term = Begins the first Monday in October every year (e.g., the 2008 Term began 10/06/08) </t>
  </si>
  <si>
    <t>**</t>
  </si>
  <si>
    <t>Unanimous Majority Opinions include only opinions which elicited no dissents or concurrences</t>
  </si>
  <si>
    <t>***</t>
  </si>
  <si>
    <t>Opinions that received a majority vote for at least one section of the opinion, but only a plurality vote for the remainder</t>
  </si>
  <si>
    <t>****</t>
  </si>
  <si>
    <t>Cases where the Justice joined another opinion, but did not write one himself (limit 1 per case). Does not include per curiam decisions</t>
  </si>
  <si>
    <t>*****</t>
  </si>
  <si>
    <t>"Unpublished" cases include only those published in the Federal Appendix, but not selected for publication in the Federal Reporter</t>
  </si>
  <si>
    <t>******</t>
  </si>
  <si>
    <t>Includes all citations to the Justice by name.  Category does not include citations to another opinion written by the Justice within the same case</t>
  </si>
  <si>
    <t>*******</t>
  </si>
  <si>
    <t>2005*******</t>
  </si>
  <si>
    <t>Partial term - Justice Alito joined the Supreme Court on 01/31/2006</t>
  </si>
  <si>
    <t>Career Totals</t>
  </si>
  <si>
    <t>Career Avg. (22 terms)</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</si>
</sst>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b/>
      <sz val="16"/>
      <name val="Arial"/>
      <family val="2"/>
    </font>
    <font>
      <sz val="10"/>
      <name val="Arial"/>
      <family val="2"/>
    </font>
    <font>
      <b/>
      <sz val="10"/>
      <name val="Arial"/>
      <family val="2"/>
    </font>
    <font>
      <sz val="11"/>
      <color theme="0"/>
      <name val="Calibri"/>
      <family val="2"/>
      <scheme val="minor"/>
    </font>
    <font>
      <b/>
      <sz val="11"/>
      <color indexed="8"/>
      <name val="Calibri"/>
      <family val="2"/>
    </font>
    <font>
      <b/>
      <sz val="11"/>
      <color indexed="8"/>
      <name val="Arial"/>
      <family val="2"/>
    </font>
    <font>
      <u/>
      <sz val="11"/>
      <color indexed="39"/>
      <name val="Arial"/>
      <family val="2"/>
    </font>
    <font>
      <sz val="10"/>
      <color indexed="8"/>
      <name val="Times New Roman"/>
      <family val="2"/>
    </font>
    <font>
      <sz val="11"/>
      <color indexed="8"/>
      <name val="Arial"/>
      <family val="2"/>
    </font>
    <font>
      <b/>
      <sz val="10"/>
      <color indexed="8"/>
      <name val="Times New Roman"/>
      <family val="2"/>
    </font>
    <font>
      <b/>
      <u/>
      <sz val="11"/>
      <name val="Arial"/>
      <family val="2"/>
    </font>
    <font>
      <b/>
      <u/>
      <sz val="10"/>
      <color indexed="8"/>
      <name val="Times New Roman"/>
      <family val="1"/>
    </font>
    <font>
      <u/>
      <sz val="11"/>
      <color theme="10"/>
      <name val="Calibri"/>
      <family val="2"/>
    </font>
    <font>
      <sz val="10"/>
      <color rgb="FF000000"/>
      <name val="Times New Roman"/>
      <family val="1"/>
    </font>
    <font>
      <b/>
      <sz val="10"/>
      <color rgb="FF000000"/>
      <name val="Times New Roman"/>
      <family val="1"/>
    </font>
    <font>
      <sz val="12"/>
      <color rgb="FF000000"/>
      <name val="Times New Roman"/>
      <family val="1"/>
    </font>
    <font>
      <b/>
      <u/>
      <sz val="10"/>
      <color rgb="FF000000"/>
      <name val="Times New Roman"/>
      <family val="1"/>
    </font>
    <font>
      <u/>
      <sz val="10"/>
      <color theme="10"/>
      <name val="Arial"/>
      <family val="2"/>
    </font>
    <font>
      <b/>
      <sz val="11"/>
      <color theme="1"/>
      <name val="Arial"/>
      <family val="2"/>
    </font>
    <font>
      <sz val="11"/>
      <color theme="1"/>
      <name val="Arial"/>
      <family val="2"/>
    </font>
    <font>
      <sz val="10"/>
      <color indexed="8"/>
      <name val="Times New Roman"/>
      <family val="1"/>
    </font>
    <font>
      <sz val="10"/>
      <color rgb="FF000000"/>
      <name val="Calibri"/>
      <scheme val="minor"/>
    </font>
    <font>
      <sz val="10"/>
      <color theme="1"/>
      <name val="Calibri"/>
      <scheme val="minor"/>
    </font>
    <font>
      <u/>
      <sz val="10"/>
      <color theme="10"/>
      <name val="Calibri"/>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00"/>
      <name val="Calibri"/>
      <family val="2"/>
      <scheme val="minor"/>
    </font>
    <font>
      <b/>
      <sz val="10"/>
      <color rgb="FF000000"/>
      <name val="Calibri"/>
      <family val="2"/>
      <scheme val="minor"/>
    </font>
    <font>
      <sz val="9"/>
      <color rgb="FF000000"/>
      <name val="Arial"/>
      <family val="2"/>
    </font>
    <font>
      <u/>
      <sz val="12"/>
      <color indexed="39"/>
      <name val="Times New Roman"/>
      <family val="2"/>
    </font>
    <font>
      <sz val="10"/>
      <name val="Times New Roman"/>
      <family val="2"/>
    </font>
    <font>
      <u/>
      <sz val="12"/>
      <color indexed="39"/>
      <name val="Georgia"/>
      <family val="2"/>
    </font>
    <font>
      <sz val="10"/>
      <color indexed="8"/>
      <name val="Georgia"/>
      <family val="2"/>
    </font>
    <font>
      <sz val="10"/>
      <name val="Georgia"/>
      <family val="2"/>
    </font>
    <font>
      <sz val="10"/>
      <color indexed="8"/>
      <name val="Arial"/>
      <family val="2"/>
    </font>
  </fonts>
  <fills count="9">
    <fill>
      <patternFill patternType="none"/>
    </fill>
    <fill>
      <patternFill patternType="gray125"/>
    </fill>
    <fill>
      <patternFill patternType="solid">
        <fgColor indexed="1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patternFill>
    </fill>
    <fill>
      <patternFill patternType="solid">
        <fgColor theme="0"/>
        <bgColor indexed="64"/>
      </patternFill>
    </fill>
    <fill>
      <patternFill patternType="solid">
        <fgColor rgb="FFFFFFFF"/>
        <bgColor indexed="64"/>
      </patternFill>
    </fill>
    <fill>
      <patternFill patternType="solid">
        <fgColor theme="1" tint="0.499984740745262"/>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70">
    <xf numFmtId="0" fontId="0" fillId="0" borderId="0" xfId="0"/>
    <xf numFmtId="0" fontId="2" fillId="0" borderId="0" xfId="0" applyFont="1" applyAlignment="1"/>
    <xf numFmtId="0" fontId="3" fillId="0" borderId="0" xfId="0" applyFont="1" applyAlignment="1"/>
    <xf numFmtId="0" fontId="4" fillId="0" borderId="0" xfId="0" applyFont="1" applyAlignment="1">
      <alignment wrapText="1"/>
    </xf>
    <xf numFmtId="0" fontId="4" fillId="0" borderId="0" xfId="0" applyFont="1" applyFill="1" applyAlignment="1">
      <alignment wrapText="1"/>
    </xf>
    <xf numFmtId="0" fontId="0" fillId="0" borderId="1" xfId="0" applyBorder="1"/>
    <xf numFmtId="0" fontId="1" fillId="0" borderId="0" xfId="0" applyFont="1"/>
    <xf numFmtId="0" fontId="3" fillId="0" borderId="0" xfId="0" applyFont="1" applyBorder="1"/>
    <xf numFmtId="0" fontId="0" fillId="0" borderId="0" xfId="0" applyBorder="1"/>
    <xf numFmtId="0" fontId="3" fillId="0" borderId="1" xfId="0" applyFont="1" applyBorder="1"/>
    <xf numFmtId="0" fontId="0" fillId="0" borderId="0" xfId="0" applyFill="1" applyBorder="1"/>
    <xf numFmtId="0" fontId="6" fillId="0" borderId="0" xfId="0" applyFont="1" applyAlignment="1"/>
    <xf numFmtId="0" fontId="0" fillId="0" borderId="0" xfId="0" applyAlignment="1"/>
    <xf numFmtId="0" fontId="0" fillId="0" borderId="0" xfId="0" applyAlignment="1">
      <alignment vertical="center"/>
    </xf>
    <xf numFmtId="0" fontId="4" fillId="2" borderId="2" xfId="0" applyFont="1" applyFill="1" applyBorder="1" applyAlignment="1">
      <alignment horizontal="center"/>
    </xf>
    <xf numFmtId="0" fontId="0" fillId="2" borderId="2" xfId="0" applyFill="1" applyBorder="1" applyAlignment="1"/>
    <xf numFmtId="0" fontId="3" fillId="2" borderId="2" xfId="0" applyFont="1" applyFill="1" applyBorder="1" applyAlignment="1">
      <alignment wrapText="1"/>
    </xf>
    <xf numFmtId="0" fontId="3" fillId="2" borderId="2" xfId="0" applyFont="1" applyFill="1" applyBorder="1" applyAlignment="1"/>
    <xf numFmtId="0" fontId="7" fillId="3" borderId="0" xfId="0" applyNumberFormat="1" applyFont="1" applyFill="1" applyAlignment="1"/>
    <xf numFmtId="0" fontId="4" fillId="3" borderId="0" xfId="0" applyNumberFormat="1" applyFont="1" applyFill="1" applyAlignment="1">
      <alignment wrapText="1"/>
    </xf>
    <xf numFmtId="0" fontId="8" fillId="0" borderId="0" xfId="0" applyNumberFormat="1" applyFont="1" applyFill="1" applyAlignment="1">
      <alignment vertical="top" wrapText="1"/>
    </xf>
    <xf numFmtId="0" fontId="9" fillId="0" borderId="0" xfId="0" applyNumberFormat="1" applyFont="1" applyFill="1" applyAlignment="1">
      <alignment vertical="top" wrapText="1"/>
    </xf>
    <xf numFmtId="0" fontId="10" fillId="0" borderId="0" xfId="0" applyNumberFormat="1" applyFont="1" applyFill="1" applyAlignment="1"/>
    <xf numFmtId="0" fontId="0" fillId="0" borderId="0" xfId="0" applyNumberFormat="1" applyFont="1" applyFill="1" applyAlignment="1">
      <alignment wrapText="1"/>
    </xf>
    <xf numFmtId="0" fontId="11" fillId="3" borderId="0" xfId="0" applyNumberFormat="1" applyFont="1" applyFill="1" applyAlignment="1">
      <alignment vertical="top" wrapText="1"/>
    </xf>
    <xf numFmtId="0" fontId="12" fillId="0" borderId="0" xfId="0" applyNumberFormat="1" applyFont="1" applyFill="1" applyAlignment="1">
      <alignment vertical="top" wrapText="1"/>
    </xf>
    <xf numFmtId="0" fontId="4" fillId="3" borderId="0" xfId="0" applyFont="1" applyFill="1" applyAlignment="1">
      <alignment vertical="center"/>
    </xf>
    <xf numFmtId="0" fontId="8" fillId="0" borderId="0" xfId="0" applyNumberFormat="1" applyFont="1" applyFill="1" applyAlignment="1">
      <alignment horizontal="right" vertical="top" wrapText="1"/>
    </xf>
    <xf numFmtId="0" fontId="0" fillId="0" borderId="0" xfId="0" applyNumberFormat="1" applyFill="1" applyAlignment="1">
      <alignment wrapText="1"/>
    </xf>
    <xf numFmtId="0" fontId="13" fillId="0" borderId="0" xfId="0" applyNumberFormat="1" applyFont="1" applyFill="1" applyAlignment="1">
      <alignment vertical="top" wrapText="1"/>
    </xf>
    <xf numFmtId="14" fontId="0" fillId="0" borderId="0" xfId="0" applyNumberFormat="1" applyAlignment="1"/>
    <xf numFmtId="0" fontId="7" fillId="4" borderId="0" xfId="0" applyNumberFormat="1" applyFont="1" applyFill="1" applyAlignment="1"/>
    <xf numFmtId="0" fontId="4" fillId="4" borderId="0" xfId="0" applyNumberFormat="1" applyFont="1" applyFill="1" applyAlignment="1">
      <alignment wrapText="1"/>
    </xf>
    <xf numFmtId="0" fontId="11" fillId="4" borderId="0" xfId="0" applyNumberFormat="1" applyFont="1" applyFill="1" applyAlignment="1">
      <alignment vertical="top" wrapText="1"/>
    </xf>
    <xf numFmtId="0" fontId="0" fillId="0" borderId="0" xfId="0" applyFill="1" applyAlignment="1">
      <alignment vertical="center"/>
    </xf>
    <xf numFmtId="0" fontId="4" fillId="4" borderId="0" xfId="0" applyFont="1" applyFill="1" applyAlignment="1">
      <alignment vertical="center"/>
    </xf>
    <xf numFmtId="0" fontId="9" fillId="0" borderId="0" xfId="0" applyNumberFormat="1" applyFont="1" applyFill="1" applyAlignment="1">
      <alignment vertical="top"/>
    </xf>
    <xf numFmtId="0" fontId="5" fillId="5" borderId="0" xfId="0" applyFont="1" applyFill="1" applyAlignment="1">
      <alignment horizontal="right" wrapText="1"/>
    </xf>
    <xf numFmtId="0" fontId="5" fillId="5" borderId="0" xfId="0" applyFont="1" applyFill="1" applyAlignment="1">
      <alignment horizontal="left" wrapText="1"/>
    </xf>
    <xf numFmtId="14" fontId="0" fillId="0" borderId="0" xfId="0" applyNumberFormat="1"/>
    <xf numFmtId="49" fontId="0" fillId="0" borderId="0" xfId="0" applyNumberFormat="1"/>
    <xf numFmtId="0" fontId="1" fillId="4" borderId="0" xfId="0" applyNumberFormat="1" applyFont="1" applyFill="1" applyAlignment="1">
      <alignment wrapText="1"/>
    </xf>
    <xf numFmtId="0" fontId="1" fillId="4" borderId="0" xfId="0" applyFont="1" applyFill="1"/>
    <xf numFmtId="0" fontId="14" fillId="0" borderId="0" xfId="1" applyAlignment="1" applyProtection="1">
      <alignment horizontal="right" vertical="top" wrapText="1"/>
    </xf>
    <xf numFmtId="49" fontId="15" fillId="0" borderId="0" xfId="0" applyNumberFormat="1" applyFont="1" applyAlignment="1">
      <alignment vertical="top" wrapText="1"/>
    </xf>
    <xf numFmtId="49" fontId="16" fillId="4" borderId="0" xfId="0" applyNumberFormat="1" applyFont="1" applyFill="1" applyAlignment="1">
      <alignment vertical="top" wrapText="1"/>
    </xf>
    <xf numFmtId="49" fontId="17" fillId="0" borderId="0" xfId="0" applyNumberFormat="1" applyFont="1" applyAlignment="1">
      <alignment vertical="top" wrapText="1"/>
    </xf>
    <xf numFmtId="49" fontId="1" fillId="4" borderId="0" xfId="0" applyNumberFormat="1" applyFont="1" applyFill="1"/>
    <xf numFmtId="0" fontId="14" fillId="6" borderId="0" xfId="1" applyFill="1" applyAlignment="1" applyProtection="1">
      <alignment horizontal="right" vertical="top" wrapText="1"/>
    </xf>
    <xf numFmtId="49" fontId="15" fillId="6" borderId="0" xfId="0" applyNumberFormat="1" applyFont="1" applyFill="1" applyAlignment="1">
      <alignment vertical="top" wrapText="1"/>
    </xf>
    <xf numFmtId="0" fontId="0" fillId="6" borderId="0" xfId="0" applyFill="1"/>
    <xf numFmtId="0" fontId="15" fillId="0" borderId="0" xfId="0" applyFont="1" applyAlignment="1">
      <alignment vertical="top" wrapText="1"/>
    </xf>
    <xf numFmtId="0" fontId="16" fillId="4" borderId="0" xfId="0" applyFont="1" applyFill="1" applyAlignment="1">
      <alignment vertical="top" wrapText="1"/>
    </xf>
    <xf numFmtId="0" fontId="15" fillId="6" borderId="0" xfId="0" applyFont="1" applyFill="1" applyAlignment="1">
      <alignment vertical="top" wrapText="1"/>
    </xf>
    <xf numFmtId="0" fontId="14" fillId="0" borderId="0" xfId="1" applyFill="1" applyAlignment="1" applyProtection="1">
      <alignment horizontal="right" vertical="top" wrapText="1"/>
    </xf>
    <xf numFmtId="0" fontId="15" fillId="0" borderId="0" xfId="0" applyFont="1" applyFill="1" applyAlignment="1">
      <alignment vertical="top" wrapText="1"/>
    </xf>
    <xf numFmtId="0" fontId="0" fillId="0" borderId="0" xfId="0" applyFill="1"/>
    <xf numFmtId="0" fontId="18" fillId="0" borderId="0" xfId="0" applyFont="1" applyAlignment="1">
      <alignment vertical="top" wrapText="1"/>
    </xf>
    <xf numFmtId="0" fontId="19" fillId="0" borderId="0" xfId="1" applyFont="1" applyAlignment="1" applyProtection="1">
      <alignment horizontal="right" vertical="center" wrapText="1"/>
    </xf>
    <xf numFmtId="0" fontId="0" fillId="0" borderId="0" xfId="0" applyAlignment="1">
      <alignment vertical="center" wrapText="1"/>
    </xf>
    <xf numFmtId="0" fontId="4" fillId="4" borderId="0" xfId="0" applyFont="1" applyFill="1" applyAlignment="1">
      <alignment vertical="center" wrapText="1"/>
    </xf>
    <xf numFmtId="0" fontId="1" fillId="0" borderId="0" xfId="0" applyNumberFormat="1" applyFont="1" applyFill="1" applyAlignment="1">
      <alignment wrapText="1"/>
    </xf>
    <xf numFmtId="0" fontId="4" fillId="4" borderId="0" xfId="0" applyNumberFormat="1" applyFont="1" applyFill="1" applyAlignment="1" applyProtection="1">
      <alignment wrapText="1"/>
    </xf>
    <xf numFmtId="0" fontId="0" fillId="0" borderId="0" xfId="0" applyAlignment="1" applyProtection="1">
      <alignment vertical="center"/>
    </xf>
    <xf numFmtId="0" fontId="0" fillId="0" borderId="0" xfId="0" applyAlignment="1" applyProtection="1">
      <alignment wrapText="1"/>
    </xf>
    <xf numFmtId="0" fontId="4" fillId="4" borderId="0" xfId="0" applyFont="1" applyFill="1" applyAlignment="1" applyProtection="1">
      <alignment wrapText="1"/>
    </xf>
    <xf numFmtId="0" fontId="0" fillId="0" borderId="0" xfId="0" applyFill="1" applyAlignment="1">
      <alignment vertical="center" wrapText="1"/>
    </xf>
    <xf numFmtId="0" fontId="0" fillId="0" borderId="0" xfId="0" applyAlignment="1" applyProtection="1">
      <alignment vertical="center" wrapText="1"/>
    </xf>
    <xf numFmtId="0" fontId="20" fillId="0" borderId="3" xfId="0" applyFont="1" applyBorder="1" applyAlignment="1">
      <alignment horizontal="center" vertical="center" wrapText="1"/>
    </xf>
    <xf numFmtId="14" fontId="21" fillId="0" borderId="3" xfId="0" applyNumberFormat="1" applyFont="1" applyBorder="1" applyAlignment="1">
      <alignment horizontal="center" wrapText="1"/>
    </xf>
    <xf numFmtId="0" fontId="21" fillId="0" borderId="3" xfId="0" applyFont="1" applyBorder="1" applyAlignment="1">
      <alignment horizontal="center" wrapText="1"/>
    </xf>
    <xf numFmtId="0" fontId="14" fillId="0" borderId="3" xfId="1" applyBorder="1" applyAlignment="1" applyProtection="1">
      <alignment wrapText="1"/>
    </xf>
    <xf numFmtId="17" fontId="21" fillId="0" borderId="3" xfId="0" applyNumberFormat="1" applyFont="1" applyBorder="1" applyAlignment="1">
      <alignment horizontal="center" wrapText="1"/>
    </xf>
    <xf numFmtId="0" fontId="0" fillId="4" borderId="0" xfId="0" applyNumberFormat="1" applyFont="1" applyFill="1" applyAlignment="1">
      <alignment wrapText="1"/>
    </xf>
    <xf numFmtId="0" fontId="19" fillId="0" borderId="0" xfId="1" applyFont="1" applyAlignment="1" applyProtection="1">
      <alignment horizontal="right" vertical="top" wrapText="1"/>
    </xf>
    <xf numFmtId="0" fontId="22" fillId="0" borderId="0" xfId="0" applyFont="1" applyAlignment="1">
      <alignment vertical="top" wrapText="1"/>
    </xf>
    <xf numFmtId="0" fontId="19" fillId="0" borderId="0" xfId="1" applyFont="1" applyFill="1" applyAlignment="1" applyProtection="1">
      <alignment horizontal="right" vertical="top" wrapText="1"/>
    </xf>
    <xf numFmtId="0" fontId="0" fillId="4" borderId="0" xfId="0" applyNumberFormat="1" applyFill="1" applyAlignment="1">
      <alignment wrapText="1"/>
    </xf>
    <xf numFmtId="0" fontId="23" fillId="0" borderId="2" xfId="0" applyFont="1" applyBorder="1" applyAlignment="1">
      <alignment horizontal="center" vertical="center" wrapText="1"/>
    </xf>
    <xf numFmtId="0" fontId="23" fillId="0" borderId="4" xfId="0" applyFont="1" applyBorder="1" applyAlignment="1">
      <alignment horizontal="center" wrapText="1"/>
    </xf>
    <xf numFmtId="0" fontId="23" fillId="0" borderId="4" xfId="0" applyFont="1" applyBorder="1" applyAlignment="1">
      <alignment horizontal="center" vertical="center" wrapText="1"/>
    </xf>
    <xf numFmtId="0" fontId="24" fillId="0" borderId="2" xfId="0" applyFont="1" applyBorder="1" applyAlignment="1">
      <alignment horizontal="left" vertical="center" wrapText="1"/>
    </xf>
    <xf numFmtId="0" fontId="25" fillId="0" borderId="2" xfId="1" applyFont="1" applyBorder="1" applyAlignment="1" applyProtection="1">
      <alignment horizontal="right" vertical="center" wrapText="1"/>
    </xf>
    <xf numFmtId="0" fontId="23" fillId="0" borderId="2" xfId="0" applyFont="1" applyBorder="1" applyAlignment="1">
      <alignment vertical="center" wrapText="1"/>
    </xf>
    <xf numFmtId="0" fontId="24" fillId="0" borderId="2" xfId="0" applyFont="1" applyBorder="1" applyAlignment="1">
      <alignment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23" fillId="0" borderId="4" xfId="0" applyFont="1" applyBorder="1" applyAlignment="1">
      <alignment horizontal="center" vertical="center"/>
    </xf>
    <xf numFmtId="0" fontId="25" fillId="0" borderId="2" xfId="1" applyFont="1" applyFill="1" applyBorder="1" applyAlignment="1" applyProtection="1">
      <alignment horizontal="right" vertical="center" wrapText="1"/>
    </xf>
    <xf numFmtId="0" fontId="23" fillId="0" borderId="2" xfId="0" applyFont="1" applyFill="1" applyBorder="1" applyAlignment="1">
      <alignment vertical="center" wrapText="1"/>
    </xf>
    <xf numFmtId="0" fontId="24" fillId="0" borderId="2" xfId="0" applyFont="1" applyFill="1" applyBorder="1" applyAlignment="1">
      <alignment wrapText="1"/>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6" fillId="0" borderId="2" xfId="0" applyFont="1" applyFill="1" applyBorder="1" applyAlignment="1">
      <alignment wrapText="1"/>
    </xf>
    <xf numFmtId="0" fontId="25" fillId="0" borderId="2" xfId="1" applyFont="1" applyBorder="1" applyAlignment="1" applyProtection="1">
      <alignment horizontal="center" vertical="center"/>
    </xf>
    <xf numFmtId="0" fontId="24" fillId="0" borderId="2" xfId="0" applyFont="1" applyBorder="1" applyAlignment="1">
      <alignment vertical="center" wrapText="1"/>
    </xf>
    <xf numFmtId="0" fontId="23" fillId="0" borderId="5" xfId="0" applyFont="1" applyBorder="1" applyAlignment="1">
      <alignment horizontal="center" vertical="center"/>
    </xf>
    <xf numFmtId="0" fontId="26" fillId="0" borderId="2" xfId="0" applyFont="1" applyBorder="1" applyAlignment="1">
      <alignment wrapText="1"/>
    </xf>
    <xf numFmtId="0" fontId="24" fillId="4" borderId="6" xfId="0" applyFont="1" applyFill="1" applyBorder="1" applyAlignment="1">
      <alignment horizontal="center" vertical="center" wrapText="1"/>
    </xf>
    <xf numFmtId="0" fontId="24" fillId="4" borderId="6" xfId="0" applyFont="1" applyFill="1" applyBorder="1" applyAlignment="1">
      <alignment wrapText="1"/>
    </xf>
    <xf numFmtId="0" fontId="25" fillId="0" borderId="0" xfId="1" applyFont="1" applyBorder="1" applyAlignment="1" applyProtection="1">
      <alignment horizontal="center" vertical="center" wrapText="1"/>
    </xf>
    <xf numFmtId="0" fontId="23" fillId="0" borderId="0" xfId="0" applyFont="1" applyBorder="1" applyAlignment="1">
      <alignment vertical="center" wrapText="1"/>
    </xf>
    <xf numFmtId="0" fontId="24" fillId="0" borderId="0" xfId="0" applyFont="1" applyBorder="1" applyAlignment="1">
      <alignment wrapText="1"/>
    </xf>
    <xf numFmtId="0" fontId="24" fillId="0" borderId="0" xfId="0" applyFont="1" applyBorder="1" applyAlignment="1">
      <alignment horizontal="center" vertical="center" wrapText="1"/>
    </xf>
    <xf numFmtId="0" fontId="25" fillId="0" borderId="0" xfId="1" applyFont="1" applyFill="1" applyBorder="1" applyAlignment="1" applyProtection="1">
      <alignment horizontal="center" vertical="center" wrapText="1"/>
    </xf>
    <xf numFmtId="0" fontId="23" fillId="0" borderId="0" xfId="0" applyFont="1" applyFill="1" applyBorder="1" applyAlignment="1">
      <alignment vertical="center" wrapText="1"/>
    </xf>
    <xf numFmtId="0" fontId="24" fillId="0" borderId="0" xfId="0" applyFont="1" applyFill="1" applyBorder="1" applyAlignment="1">
      <alignment wrapText="1"/>
    </xf>
    <xf numFmtId="0" fontId="24"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7" fillId="4" borderId="0" xfId="0" applyFont="1" applyFill="1" applyBorder="1" applyAlignment="1">
      <alignment wrapText="1"/>
    </xf>
    <xf numFmtId="0" fontId="27" fillId="4" borderId="0" xfId="0" applyFont="1" applyFill="1" applyBorder="1" applyAlignment="1">
      <alignment horizontal="center" vertical="center" wrapText="1"/>
    </xf>
    <xf numFmtId="0" fontId="26" fillId="0" borderId="0" xfId="0" applyFont="1" applyBorder="1" applyAlignment="1">
      <alignment wrapText="1"/>
    </xf>
    <xf numFmtId="0" fontId="28" fillId="4" borderId="0" xfId="0" applyFont="1" applyFill="1"/>
    <xf numFmtId="0" fontId="1" fillId="0" borderId="0" xfId="0" applyFont="1" applyAlignment="1">
      <alignment horizontal="right"/>
    </xf>
    <xf numFmtId="0" fontId="24" fillId="0" borderId="4" xfId="0" applyFont="1" applyBorder="1" applyAlignment="1">
      <alignment horizontal="center" vertical="center"/>
    </xf>
    <xf numFmtId="0" fontId="30" fillId="4" borderId="7" xfId="0" applyFont="1" applyFill="1" applyBorder="1" applyAlignment="1">
      <alignment horizontal="center" vertical="center" wrapText="1"/>
    </xf>
    <xf numFmtId="0" fontId="27" fillId="4" borderId="7" xfId="0" applyFont="1" applyFill="1" applyBorder="1" applyAlignment="1">
      <alignment wrapText="1"/>
    </xf>
    <xf numFmtId="0" fontId="27" fillId="4" borderId="2" xfId="0" applyFont="1" applyFill="1" applyBorder="1" applyAlignment="1">
      <alignment wrapText="1"/>
    </xf>
    <xf numFmtId="0" fontId="27" fillId="4" borderId="2" xfId="0" applyFont="1" applyFill="1" applyBorder="1" applyAlignment="1">
      <alignment horizontal="center" vertical="center"/>
    </xf>
    <xf numFmtId="0" fontId="27" fillId="4" borderId="2"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Border="1" applyAlignment="1">
      <alignment horizontal="center" vertical="center"/>
    </xf>
    <xf numFmtId="0" fontId="0" fillId="0" borderId="0" xfId="0" applyAlignment="1">
      <alignment horizontal="right"/>
    </xf>
    <xf numFmtId="0" fontId="0" fillId="0" borderId="1" xfId="0" applyBorder="1" applyAlignment="1">
      <alignment horizontal="right"/>
    </xf>
    <xf numFmtId="0" fontId="0" fillId="2" borderId="2" xfId="0" applyFill="1" applyBorder="1" applyAlignment="1">
      <alignment horizontal="right"/>
    </xf>
    <xf numFmtId="0" fontId="30" fillId="4" borderId="7" xfId="0" applyFont="1" applyFill="1" applyBorder="1" applyAlignment="1">
      <alignment horizontal="center" vertical="center"/>
    </xf>
    <xf numFmtId="0" fontId="0" fillId="0" borderId="0" xfId="0" applyNumberFormat="1" applyAlignment="1">
      <alignment horizontal="right"/>
    </xf>
    <xf numFmtId="1" fontId="0" fillId="0" borderId="0" xfId="0" applyNumberFormat="1"/>
    <xf numFmtId="14" fontId="31" fillId="7" borderId="3" xfId="0" applyNumberFormat="1" applyFont="1" applyFill="1" applyBorder="1" applyAlignment="1">
      <alignment horizontal="center" wrapText="1"/>
    </xf>
    <xf numFmtId="0" fontId="31" fillId="7" borderId="3" xfId="0" applyFont="1" applyFill="1" applyBorder="1" applyAlignment="1">
      <alignment horizontal="center" wrapText="1"/>
    </xf>
    <xf numFmtId="0" fontId="14" fillId="7" borderId="3" xfId="1" applyFill="1" applyBorder="1" applyAlignment="1" applyProtection="1">
      <alignment wrapText="1"/>
    </xf>
    <xf numFmtId="0" fontId="9" fillId="0" borderId="2" xfId="0" applyNumberFormat="1" applyFont="1" applyFill="1" applyBorder="1" applyAlignment="1"/>
    <xf numFmtId="0" fontId="9" fillId="0" borderId="2" xfId="0" applyNumberFormat="1" applyFont="1" applyFill="1" applyBorder="1" applyAlignment="1">
      <alignment wrapText="1"/>
    </xf>
    <xf numFmtId="0" fontId="32" fillId="0" borderId="0" xfId="0" applyNumberFormat="1" applyFont="1" applyFill="1" applyAlignment="1">
      <alignment horizontal="right" vertical="center" wrapText="1"/>
    </xf>
    <xf numFmtId="0" fontId="9" fillId="0" borderId="0" xfId="0" applyNumberFormat="1" applyFont="1" applyFill="1" applyAlignment="1">
      <alignment vertical="center" wrapText="1"/>
    </xf>
    <xf numFmtId="0" fontId="33" fillId="0" borderId="0" xfId="0" applyNumberFormat="1" applyFont="1" applyFill="1" applyAlignment="1">
      <alignment wrapText="1"/>
    </xf>
    <xf numFmtId="0" fontId="34" fillId="0" borderId="0" xfId="0" applyNumberFormat="1" applyFont="1" applyFill="1" applyAlignment="1">
      <alignment horizontal="right" vertical="center" wrapText="1"/>
    </xf>
    <xf numFmtId="0" fontId="35" fillId="0" borderId="0" xfId="0" applyNumberFormat="1" applyFont="1" applyFill="1" applyAlignment="1">
      <alignment vertical="center" wrapText="1"/>
    </xf>
    <xf numFmtId="0" fontId="36" fillId="0" borderId="0" xfId="0" applyNumberFormat="1" applyFont="1" applyFill="1" applyAlignment="1">
      <alignment wrapText="1"/>
    </xf>
    <xf numFmtId="17" fontId="31" fillId="7" borderId="3" xfId="0" applyNumberFormat="1" applyFont="1" applyFill="1" applyBorder="1" applyAlignment="1">
      <alignment horizontal="center" wrapText="1"/>
    </xf>
    <xf numFmtId="0" fontId="25" fillId="6" borderId="2" xfId="1" applyFont="1" applyFill="1" applyBorder="1" applyAlignment="1" applyProtection="1">
      <alignment horizontal="center" vertical="center"/>
    </xf>
    <xf numFmtId="0" fontId="23" fillId="6" borderId="2" xfId="0" applyFont="1" applyFill="1" applyBorder="1" applyAlignment="1">
      <alignment vertical="center" wrapText="1"/>
    </xf>
    <xf numFmtId="0" fontId="24" fillId="6" borderId="2" xfId="0" applyFont="1" applyFill="1" applyBorder="1" applyAlignment="1">
      <alignment wrapText="1"/>
    </xf>
    <xf numFmtId="0" fontId="24" fillId="6" borderId="2" xfId="0" applyFont="1" applyFill="1" applyBorder="1" applyAlignment="1">
      <alignment horizontal="center" vertical="center"/>
    </xf>
    <xf numFmtId="0" fontId="25" fillId="6" borderId="0" xfId="1" applyFont="1" applyFill="1" applyBorder="1" applyAlignment="1" applyProtection="1">
      <alignment horizontal="center" vertical="center" wrapText="1"/>
    </xf>
    <xf numFmtId="0" fontId="23" fillId="6" borderId="0" xfId="0" applyFont="1" applyFill="1" applyBorder="1" applyAlignment="1">
      <alignment vertical="center" wrapText="1"/>
    </xf>
    <xf numFmtId="0" fontId="26" fillId="6" borderId="0" xfId="0" applyFont="1" applyFill="1" applyBorder="1" applyAlignment="1">
      <alignment wrapText="1"/>
    </xf>
    <xf numFmtId="0" fontId="24" fillId="6" borderId="0" xfId="0" applyFont="1" applyFill="1" applyBorder="1" applyAlignment="1">
      <alignment horizontal="center" vertical="center" wrapText="1"/>
    </xf>
    <xf numFmtId="0" fontId="24" fillId="6" borderId="0" xfId="0" applyFont="1" applyFill="1" applyBorder="1" applyAlignment="1">
      <alignment wrapText="1"/>
    </xf>
    <xf numFmtId="0" fontId="26" fillId="6" borderId="2" xfId="0" applyFont="1" applyFill="1" applyBorder="1" applyAlignment="1">
      <alignment wrapText="1"/>
    </xf>
    <xf numFmtId="0" fontId="23" fillId="6" borderId="2" xfId="0" applyFont="1" applyFill="1" applyBorder="1" applyAlignment="1">
      <alignment horizontal="center" vertical="center"/>
    </xf>
    <xf numFmtId="0" fontId="24" fillId="6" borderId="2" xfId="0" applyFont="1" applyFill="1" applyBorder="1" applyAlignment="1">
      <alignment vertical="center" wrapText="1"/>
    </xf>
    <xf numFmtId="0" fontId="29" fillId="6" borderId="2" xfId="0" applyFont="1" applyFill="1" applyBorder="1" applyAlignment="1">
      <alignment horizontal="center" vertical="center"/>
    </xf>
    <xf numFmtId="0" fontId="26" fillId="6"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1" fillId="8" borderId="0" xfId="0" applyFont="1" applyFill="1" applyAlignment="1">
      <alignment vertical="center" wrapText="1"/>
    </xf>
    <xf numFmtId="0" fontId="1" fillId="8" borderId="0" xfId="0" applyFont="1" applyFill="1" applyAlignment="1">
      <alignment vertical="center"/>
    </xf>
    <xf numFmtId="0" fontId="14" fillId="0" borderId="0" xfId="1" applyAlignment="1" applyProtection="1">
      <alignment horizontal="right" vertical="center" wrapText="1"/>
    </xf>
    <xf numFmtId="0" fontId="15" fillId="0" borderId="0" xfId="0" applyFont="1" applyAlignment="1">
      <alignment vertical="center"/>
    </xf>
    <xf numFmtId="0" fontId="15" fillId="0" borderId="0" xfId="0" applyFont="1"/>
    <xf numFmtId="0" fontId="1" fillId="4" borderId="0" xfId="0" applyNumberFormat="1" applyFont="1" applyFill="1"/>
    <xf numFmtId="0" fontId="3" fillId="0" borderId="0" xfId="0" applyFont="1"/>
    <xf numFmtId="0" fontId="37" fillId="0" borderId="0" xfId="0" applyFont="1"/>
    <xf numFmtId="2" fontId="0" fillId="0" borderId="0" xfId="0" applyNumberFormat="1"/>
    <xf numFmtId="2" fontId="0" fillId="0" borderId="0" xfId="0" applyNumberFormat="1" applyFill="1" applyBorder="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46" Type="http://schemas.openxmlformats.org/officeDocument/2006/relationships/hyperlink" Target="http://www.westlaw.com/Find/Default.wl?rs=dfa1.0&amp;vr=2.0&amp;DB=1011&amp;FindType=Y&amp;SerialNum=1998150031" TargetMode="External"/><Relationship Id="rId47" Type="http://schemas.openxmlformats.org/officeDocument/2006/relationships/hyperlink" Target="http://www.westlaw.com/Find/Default.wl?rs=dfa1.0&amp;vr=2.0&amp;DB=345&amp;FindType=Y&amp;SerialNum=1998043651" TargetMode="External"/><Relationship Id="rId48" Type="http://schemas.openxmlformats.org/officeDocument/2006/relationships/hyperlink" Target="http://www.westlaw.com/Find/Default.wl?rs=dfa1.0&amp;vr=2.0&amp;DB=164&amp;FindType=Y&amp;SerialNum=1997238101" TargetMode="External"/><Relationship Id="rId49" Type="http://schemas.openxmlformats.org/officeDocument/2006/relationships/hyperlink" Target="http://www.westlaw.com/Find/Default.wl?rs=dfa1.0&amp;vr=2.0&amp;DB=345&amp;FindType=Y&amp;SerialNum=1997216032" TargetMode="External"/><Relationship Id="rId20" Type="http://schemas.openxmlformats.org/officeDocument/2006/relationships/hyperlink" Target="http://www.westlaw.com/Find/Default.wl?rs=dfa1.0&amp;vr=2.0&amp;DB=506&amp;FindType=Y&amp;SerialNum=1998122709" TargetMode="External"/><Relationship Id="rId21" Type="http://schemas.openxmlformats.org/officeDocument/2006/relationships/hyperlink" Target="http://www.westlaw.com/Find/Default.wl?rs=dfa1.0&amp;vr=2.0&amp;DB=506&amp;FindType=Y&amp;SerialNum=1998122775" TargetMode="External"/><Relationship Id="rId22" Type="http://schemas.openxmlformats.org/officeDocument/2006/relationships/hyperlink" Target="http://www.westlaw.com/Find/Default.wl?rs=dfa1.0&amp;vr=2.0&amp;DB=506&amp;FindType=Y&amp;SerialNum=1998122055" TargetMode="External"/><Relationship Id="rId23" Type="http://schemas.openxmlformats.org/officeDocument/2006/relationships/hyperlink" Target="http://www.westlaw.com/Find/Default.wl?rs=dfa1.0&amp;vr=2.0&amp;DB=506&amp;FindType=Y&amp;SerialNum=1998122058" TargetMode="External"/><Relationship Id="rId24" Type="http://schemas.openxmlformats.org/officeDocument/2006/relationships/hyperlink" Target="http://www.westlaw.com/Find/Default.wl?rs=dfa1.0&amp;vr=2.0&amp;DB=506&amp;FindType=Y&amp;SerialNum=1998118195" TargetMode="External"/><Relationship Id="rId25" Type="http://schemas.openxmlformats.org/officeDocument/2006/relationships/hyperlink" Target="http://www.westlaw.com/Find/Default.wl?rs=dfa1.0&amp;vr=2.0&amp;DB=506&amp;FindType=Y&amp;SerialNum=1998115006" TargetMode="External"/><Relationship Id="rId26" Type="http://schemas.openxmlformats.org/officeDocument/2006/relationships/hyperlink" Target="http://www.westlaw.com/Find/Default.wl?rs=dfa1.0&amp;vr=2.0&amp;DB=506&amp;FindType=Y&amp;SerialNum=1998112775" TargetMode="External"/><Relationship Id="rId27" Type="http://schemas.openxmlformats.org/officeDocument/2006/relationships/hyperlink" Target="http://www.westlaw.com/Find/Default.wl?rs=dfa1.0&amp;vr=2.0&amp;DB=506&amp;FindType=Y&amp;SerialNum=1998106582" TargetMode="External"/><Relationship Id="rId28" Type="http://schemas.openxmlformats.org/officeDocument/2006/relationships/hyperlink" Target="http://www.westlaw.com/Find/Default.wl?rs=dfa1.0&amp;vr=2.0&amp;DB=506&amp;FindType=Y&amp;SerialNum=1998109242" TargetMode="External"/><Relationship Id="rId29" Type="http://schemas.openxmlformats.org/officeDocument/2006/relationships/hyperlink" Target="http://www.westlaw.com/Find/Default.wl?rs=dfa1.0&amp;vr=2.0&amp;DB=506&amp;FindType=Y&amp;SerialNum=1998098470" TargetMode="External"/><Relationship Id="rId1" Type="http://schemas.openxmlformats.org/officeDocument/2006/relationships/hyperlink" Target="http://www.westlaw.com/Find/Default.wl?rs=dfa1.0&amp;vr=2.0&amp;DB=506&amp;FindType=Y&amp;SerialNum=1998197668" TargetMode="External"/><Relationship Id="rId2" Type="http://schemas.openxmlformats.org/officeDocument/2006/relationships/hyperlink" Target="http://www.westlaw.com/Find/Default.wl?rs=dfa1.0&amp;vr=2.0&amp;DB=506&amp;FindType=Y&amp;SerialNum=1998189707" TargetMode="External"/><Relationship Id="rId3" Type="http://schemas.openxmlformats.org/officeDocument/2006/relationships/hyperlink" Target="http://www.westlaw.com/Find/Default.wl?rs=dfa1.0&amp;vr=2.0&amp;DB=506&amp;FindType=Y&amp;SerialNum=1998186788" TargetMode="External"/><Relationship Id="rId4" Type="http://schemas.openxmlformats.org/officeDocument/2006/relationships/hyperlink" Target="http://www.westlaw.com/Find/Default.wl?rs=dfa1.0&amp;vr=2.0&amp;DB=506&amp;FindType=Y&amp;SerialNum=1998186789" TargetMode="External"/><Relationship Id="rId5" Type="http://schemas.openxmlformats.org/officeDocument/2006/relationships/hyperlink" Target="http://www.westlaw.com/Find/Default.wl?rs=dfa1.0&amp;vr=2.0&amp;DB=506&amp;FindType=Y&amp;SerialNum=1998177593" TargetMode="External"/><Relationship Id="rId30" Type="http://schemas.openxmlformats.org/officeDocument/2006/relationships/hyperlink" Target="http://www.westlaw.com/Find/Default.wl?rs=dfa1.0&amp;vr=2.0&amp;DB=506&amp;FindType=Y&amp;SerialNum=1998094139" TargetMode="External"/><Relationship Id="rId31" Type="http://schemas.openxmlformats.org/officeDocument/2006/relationships/hyperlink" Target="http://www.westlaw.com/Find/Default.wl?rs=dfa1.0&amp;vr=2.0&amp;DB=506&amp;FindType=Y&amp;SerialNum=1998085817" TargetMode="External"/><Relationship Id="rId32" Type="http://schemas.openxmlformats.org/officeDocument/2006/relationships/hyperlink" Target="http://www.westlaw.com/Find/Default.wl?rs=dfa1.0&amp;vr=2.0&amp;DB=506&amp;FindType=Y&amp;SerialNum=1998071499" TargetMode="External"/><Relationship Id="rId9" Type="http://schemas.openxmlformats.org/officeDocument/2006/relationships/hyperlink" Target="http://www.westlaw.com/Find/Default.wl?rs=dfa1.0&amp;vr=2.0&amp;DB=506&amp;FindType=Y&amp;SerialNum=1998166422" TargetMode="External"/><Relationship Id="rId6" Type="http://schemas.openxmlformats.org/officeDocument/2006/relationships/hyperlink" Target="http://www.westlaw.com/Find/Default.wl?rs=dfa1.0&amp;vr=2.0&amp;DB=506&amp;FindType=Y&amp;SerialNum=1998177657" TargetMode="External"/><Relationship Id="rId7" Type="http://schemas.openxmlformats.org/officeDocument/2006/relationships/hyperlink" Target="http://www.westlaw.com/Find/Default.wl?rs=dfa1.0&amp;vr=2.0&amp;DB=506&amp;FindType=Y&amp;SerialNum=1998173031" TargetMode="External"/><Relationship Id="rId8" Type="http://schemas.openxmlformats.org/officeDocument/2006/relationships/hyperlink" Target="http://www.westlaw.com/Find/Default.wl?rs=dfa1.0&amp;vr=2.0&amp;DB=506&amp;FindType=Y&amp;SerialNum=1998166790" TargetMode="External"/><Relationship Id="rId33" Type="http://schemas.openxmlformats.org/officeDocument/2006/relationships/hyperlink" Target="http://www.westlaw.com/Find/Default.wl?rs=dfa1.0&amp;vr=2.0&amp;DB=506&amp;FindType=Y&amp;SerialNum=1998065524" TargetMode="External"/><Relationship Id="rId34" Type="http://schemas.openxmlformats.org/officeDocument/2006/relationships/hyperlink" Target="http://www.westlaw.com/Find/Default.wl?rs=dfa1.0&amp;vr=2.0&amp;DB=506&amp;FindType=Y&amp;SerialNum=1998064888" TargetMode="External"/><Relationship Id="rId35" Type="http://schemas.openxmlformats.org/officeDocument/2006/relationships/hyperlink" Target="http://www.westlaw.com/Find/Default.wl?rs=dfa1.0&amp;vr=2.0&amp;DB=506&amp;FindType=Y&amp;SerialNum=1998060570" TargetMode="External"/><Relationship Id="rId36" Type="http://schemas.openxmlformats.org/officeDocument/2006/relationships/hyperlink" Target="http://www.westlaw.com/Find/Default.wl?rs=dfa1.0&amp;vr=2.0&amp;DB=506&amp;FindType=Y&amp;SerialNum=1998057276" TargetMode="External"/><Relationship Id="rId10" Type="http://schemas.openxmlformats.org/officeDocument/2006/relationships/hyperlink" Target="http://www.westlaw.com/Find/Default.wl?rs=dfa1.0&amp;vr=2.0&amp;DB=506&amp;FindType=Y&amp;SerialNum=1998160204" TargetMode="External"/><Relationship Id="rId11" Type="http://schemas.openxmlformats.org/officeDocument/2006/relationships/hyperlink" Target="http://www.westlaw.com/Find/Default.wl?rs=dfa1.0&amp;vr=2.0&amp;DB=506&amp;FindType=Y&amp;SerialNum=1998160210" TargetMode="External"/><Relationship Id="rId12" Type="http://schemas.openxmlformats.org/officeDocument/2006/relationships/hyperlink" Target="http://www.westlaw.com/Find/Default.wl?rs=dfa1.0&amp;vr=2.0&amp;DB=506&amp;FindType=Y&amp;SerialNum=1998212275" TargetMode="External"/><Relationship Id="rId13" Type="http://schemas.openxmlformats.org/officeDocument/2006/relationships/hyperlink" Target="http://www.westlaw.com/Find/Default.wl?rs=dfa1.0&amp;vr=2.0&amp;DB=506&amp;FindType=Y&amp;SerialNum=1998153539" TargetMode="External"/><Relationship Id="rId14" Type="http://schemas.openxmlformats.org/officeDocument/2006/relationships/hyperlink" Target="http://www.westlaw.com/Find/Default.wl?rs=dfa1.0&amp;vr=2.0&amp;DB=506&amp;FindType=Y&amp;SerialNum=1998153559" TargetMode="External"/><Relationship Id="rId15" Type="http://schemas.openxmlformats.org/officeDocument/2006/relationships/hyperlink" Target="http://www.westlaw.com/Find/Default.wl?rs=dfa1.0&amp;vr=2.0&amp;DB=506&amp;FindType=Y&amp;SerialNum=1998148858" TargetMode="External"/><Relationship Id="rId16" Type="http://schemas.openxmlformats.org/officeDocument/2006/relationships/hyperlink" Target="http://www.westlaw.com/Find/Default.wl?rs=dfa1.0&amp;vr=2.0&amp;DB=506&amp;FindType=Y&amp;SerialNum=1998141790" TargetMode="External"/><Relationship Id="rId17" Type="http://schemas.openxmlformats.org/officeDocument/2006/relationships/hyperlink" Target="http://www.westlaw.com/Find/Default.wl?rs=dfa1.0&amp;vr=2.0&amp;DB=506&amp;FindType=Y&amp;SerialNum=1998141791" TargetMode="External"/><Relationship Id="rId18" Type="http://schemas.openxmlformats.org/officeDocument/2006/relationships/hyperlink" Target="http://www.westlaw.com/Find/Default.wl?rs=dfa1.0&amp;vr=2.0&amp;DB=506&amp;FindType=Y&amp;SerialNum=1998141796" TargetMode="External"/><Relationship Id="rId19" Type="http://schemas.openxmlformats.org/officeDocument/2006/relationships/hyperlink" Target="http://www.westlaw.com/Find/Default.wl?rs=dfa1.0&amp;vr=2.0&amp;DB=506&amp;FindType=Y&amp;SerialNum=1998133337" TargetMode="External"/><Relationship Id="rId37" Type="http://schemas.openxmlformats.org/officeDocument/2006/relationships/hyperlink" Target="http://www.westlaw.com/Find/Default.wl?rs=dfa1.0&amp;vr=2.0&amp;DB=506&amp;FindType=Y&amp;SerialNum=1998034054" TargetMode="External"/><Relationship Id="rId38" Type="http://schemas.openxmlformats.org/officeDocument/2006/relationships/hyperlink" Target="http://www.westlaw.com/Find/Default.wl?rs=dfa1.0&amp;vr=2.0&amp;DB=506&amp;FindType=Y&amp;SerialNum=1998034064" TargetMode="External"/><Relationship Id="rId39" Type="http://schemas.openxmlformats.org/officeDocument/2006/relationships/hyperlink" Target="http://www.westlaw.com/Find/Default.wl?rs=dfa1.0&amp;vr=2.0&amp;DB=506&amp;FindType=Y&amp;SerialNum=1998027269" TargetMode="External"/><Relationship Id="rId40" Type="http://schemas.openxmlformats.org/officeDocument/2006/relationships/hyperlink" Target="http://www.westlaw.com/Find/Default.wl?rs=dfa1.0&amp;vr=2.0&amp;DB=506&amp;FindType=Y&amp;SerialNum=1998026541" TargetMode="External"/><Relationship Id="rId41" Type="http://schemas.openxmlformats.org/officeDocument/2006/relationships/hyperlink" Target="http://www.westlaw.com/Find/Default.wl?rs=dfa1.0&amp;vr=2.0&amp;DB=506&amp;FindType=Y&amp;SerialNum=1997241004" TargetMode="External"/><Relationship Id="rId42" Type="http://schemas.openxmlformats.org/officeDocument/2006/relationships/hyperlink" Target="http://www.westlaw.com/Find/Default.wl?rs=dfa1.0&amp;vr=2.0&amp;DB=506&amp;FindType=Y&amp;SerialNum=1997238419" TargetMode="External"/><Relationship Id="rId43" Type="http://schemas.openxmlformats.org/officeDocument/2006/relationships/hyperlink" Target="http://www.westlaw.com/Find/Default.wl?rs=dfa1.0&amp;vr=2.0&amp;DB=506&amp;FindType=Y&amp;SerialNum=1997226696" TargetMode="External"/><Relationship Id="rId44" Type="http://schemas.openxmlformats.org/officeDocument/2006/relationships/hyperlink" Target="http://www.westlaw.com/Find/Default.wl?rs=dfa1.0&amp;vr=2.0&amp;DB=506&amp;FindType=Y&amp;SerialNum=1997212512" TargetMode="External"/><Relationship Id="rId45" Type="http://schemas.openxmlformats.org/officeDocument/2006/relationships/hyperlink" Target="http://www.westlaw.com/Find/Default.wl?rs=dfa1.0&amp;vr=2.0&amp;DB=506&amp;FindType=Y&amp;SerialNum=1997202806"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1999181596" TargetMode="External"/><Relationship Id="rId14" Type="http://schemas.openxmlformats.org/officeDocument/2006/relationships/hyperlink" Target="http://www.westlaw.com/Find/Default.wl?rs=dfa1.0&amp;vr=2.0&amp;DB=506&amp;FindType=Y&amp;SerialNum=1999178765" TargetMode="External"/><Relationship Id="rId15" Type="http://schemas.openxmlformats.org/officeDocument/2006/relationships/hyperlink" Target="http://www.westlaw.com/Find/Default.wl?rs=dfa1.0&amp;vr=2.0&amp;DB=506&amp;FindType=Y&amp;SerialNum=1999178766" TargetMode="External"/><Relationship Id="rId16" Type="http://schemas.openxmlformats.org/officeDocument/2006/relationships/hyperlink" Target="http://www.westlaw.com/Find/Default.wl?rs=dfa1.0&amp;vr=2.0&amp;DB=506&amp;FindType=Y&amp;SerialNum=1999173251" TargetMode="External"/><Relationship Id="rId17" Type="http://schemas.openxmlformats.org/officeDocument/2006/relationships/hyperlink" Target="http://www.westlaw.com/Find/Default.wl?rs=dfa1.0&amp;vr=2.0&amp;DB=506&amp;FindType=Y&amp;SerialNum=1999168320" TargetMode="External"/><Relationship Id="rId18" Type="http://schemas.openxmlformats.org/officeDocument/2006/relationships/hyperlink" Target="http://www.westlaw.com/Find/Default.wl?rs=dfa1.0&amp;vr=2.0&amp;DB=506&amp;FindType=Y&amp;SerialNum=1999166709" TargetMode="External"/><Relationship Id="rId19" Type="http://schemas.openxmlformats.org/officeDocument/2006/relationships/hyperlink" Target="http://www.westlaw.com/Find/Default.wl?rs=dfa1.0&amp;vr=2.0&amp;DB=506&amp;FindType=Y&amp;SerialNum=1999162825" TargetMode="External"/><Relationship Id="rId63" Type="http://schemas.openxmlformats.org/officeDocument/2006/relationships/hyperlink" Target="http://www.westlaw.com/Find/Default.wl?rs=dfa1.0&amp;vr=2.0&amp;FindType=Y&amp;SerialNum=2007310456" TargetMode="External"/><Relationship Id="rId64" Type="http://schemas.openxmlformats.org/officeDocument/2006/relationships/hyperlink" Target="http://www.westlaw.com/Find/Default.wl?rs=dfa1.0&amp;vr=2.0&amp;DB=506&amp;FindType=Y&amp;SerialNum=1998228406" TargetMode="External"/><Relationship Id="rId65" Type="http://schemas.openxmlformats.org/officeDocument/2006/relationships/hyperlink" Target="http://www.westlaw.com/Find/Default.wl?rs=dfa1.0&amp;vr=2.0&amp;DB=506&amp;FindType=Y&amp;SerialNum=1998226135" TargetMode="External"/><Relationship Id="rId66" Type="http://schemas.openxmlformats.org/officeDocument/2006/relationships/hyperlink" Target="http://www.westlaw.com/Find/Default.wl?rs=dfa1.0&amp;vr=2.0&amp;DB=506&amp;FindType=Y&amp;SerialNum=1998221919" TargetMode="External"/><Relationship Id="rId67" Type="http://schemas.openxmlformats.org/officeDocument/2006/relationships/hyperlink" Target="http://www.westlaw.com/Find/Default.wl?rs=dfa1.0&amp;vr=2.0&amp;DB=506&amp;FindType=Y&amp;SerialNum=1998221125" TargetMode="External"/><Relationship Id="rId68" Type="http://schemas.openxmlformats.org/officeDocument/2006/relationships/hyperlink" Target="http://www.westlaw.com/Find/Default.wl?rs=dfa1.0&amp;vr=2.0&amp;DB=506&amp;FindType=Y&amp;SerialNum=1998210692" TargetMode="External"/><Relationship Id="rId69" Type="http://schemas.openxmlformats.org/officeDocument/2006/relationships/hyperlink" Target="http://www.westlaw.com/Find/Default.wl?rs=dfa1.0&amp;vr=2.0&amp;DB=780&amp;FindType=Y&amp;SerialNum=1999089458" TargetMode="External"/><Relationship Id="rId50" Type="http://schemas.openxmlformats.org/officeDocument/2006/relationships/hyperlink" Target="http://www.westlaw.com/Find/Default.wl?rs=dfa1.0&amp;vr=2.0&amp;DB=506&amp;FindType=Y&amp;SerialNum=1999043827" TargetMode="External"/><Relationship Id="rId51" Type="http://schemas.openxmlformats.org/officeDocument/2006/relationships/hyperlink" Target="http://www.westlaw.com/Find/Default.wl?rs=dfa1.0&amp;vr=2.0&amp;DB=506&amp;FindType=Y&amp;SerialNum=1999038824" TargetMode="External"/><Relationship Id="rId52" Type="http://schemas.openxmlformats.org/officeDocument/2006/relationships/hyperlink" Target="http://www.westlaw.com/Find/Default.wl?rs=dfa1.0&amp;vr=2.0&amp;DB=506&amp;FindType=Y&amp;SerialNum=1999035051" TargetMode="External"/><Relationship Id="rId53" Type="http://schemas.openxmlformats.org/officeDocument/2006/relationships/hyperlink" Target="http://www.westlaw.com/Find/Default.wl?rs=dfa1.0&amp;vr=2.0&amp;DB=506&amp;FindType=Y&amp;SerialNum=1999035055" TargetMode="External"/><Relationship Id="rId54" Type="http://schemas.openxmlformats.org/officeDocument/2006/relationships/hyperlink" Target="http://www.westlaw.com/Find/Default.wl?rs=dfa1.0&amp;vr=2.0&amp;DB=506&amp;FindType=Y&amp;SerialNum=1999027796" TargetMode="External"/><Relationship Id="rId55" Type="http://schemas.openxmlformats.org/officeDocument/2006/relationships/hyperlink" Target="http://www.westlaw.com/Find/Default.wl?rs=dfa1.0&amp;vr=2.0&amp;DB=506&amp;FindType=Y&amp;SerialNum=1998260746" TargetMode="External"/><Relationship Id="rId56" Type="http://schemas.openxmlformats.org/officeDocument/2006/relationships/hyperlink" Target="http://www.westlaw.com/Find/Default.wl?rs=dfa1.0&amp;vr=2.0&amp;DB=506&amp;FindType=Y&amp;SerialNum=1998258958" TargetMode="External"/><Relationship Id="rId57" Type="http://schemas.openxmlformats.org/officeDocument/2006/relationships/hyperlink" Target="http://www.westlaw.com/Find/Default.wl?rs=dfa1.0&amp;vr=2.0&amp;DB=506&amp;FindType=Y&amp;SerialNum=1998256247" TargetMode="External"/><Relationship Id="rId58" Type="http://schemas.openxmlformats.org/officeDocument/2006/relationships/hyperlink" Target="http://www.westlaw.com/Find/Default.wl?rs=dfa1.0&amp;vr=2.0&amp;DB=506&amp;FindType=Y&amp;SerialNum=1998255532" TargetMode="External"/><Relationship Id="rId59" Type="http://schemas.openxmlformats.org/officeDocument/2006/relationships/hyperlink" Target="http://www.westlaw.com/Find/Default.wl?rs=dfa1.0&amp;vr=2.0&amp;DB=506&amp;FindType=Y&amp;SerialNum=1998254564" TargetMode="External"/><Relationship Id="rId40" Type="http://schemas.openxmlformats.org/officeDocument/2006/relationships/hyperlink" Target="http://www.westlaw.com/Find/Default.wl?rs=dfa1.0&amp;vr=2.0&amp;DB=506&amp;FindType=Y&amp;SerialNum=1999094944" TargetMode="External"/><Relationship Id="rId41" Type="http://schemas.openxmlformats.org/officeDocument/2006/relationships/hyperlink" Target="http://www.westlaw.com/Find/Default.wl?rs=dfa1.0&amp;vr=2.0&amp;DB=506&amp;FindType=Y&amp;SerialNum=1999095890" TargetMode="External"/><Relationship Id="rId42" Type="http://schemas.openxmlformats.org/officeDocument/2006/relationships/hyperlink" Target="http://www.westlaw.com/Find/Default.wl?rs=dfa1.0&amp;vr=2.0&amp;DB=506&amp;FindType=Y&amp;SerialNum=1999250489" TargetMode="External"/><Relationship Id="rId43" Type="http://schemas.openxmlformats.org/officeDocument/2006/relationships/hyperlink" Target="http://www.westlaw.com/Find/Default.wl?rs=dfa1.0&amp;vr=2.0&amp;DB=506&amp;FindType=Y&amp;SerialNum=1999099122" TargetMode="External"/><Relationship Id="rId44" Type="http://schemas.openxmlformats.org/officeDocument/2006/relationships/hyperlink" Target="http://www.westlaw.com/Find/Default.wl?rs=dfa1.0&amp;vr=2.0&amp;DB=506&amp;FindType=Y&amp;SerialNum=1999090196" TargetMode="External"/><Relationship Id="rId45" Type="http://schemas.openxmlformats.org/officeDocument/2006/relationships/hyperlink" Target="http://www.westlaw.com/Find/Default.wl?rs=dfa1.0&amp;vr=2.0&amp;DB=506&amp;FindType=Y&amp;SerialNum=1999072269" TargetMode="External"/><Relationship Id="rId46" Type="http://schemas.openxmlformats.org/officeDocument/2006/relationships/hyperlink" Target="http://www.westlaw.com/Find/Default.wl?rs=dfa1.0&amp;vr=2.0&amp;DB=506&amp;FindType=Y&amp;SerialNum=1999073969" TargetMode="External"/><Relationship Id="rId47" Type="http://schemas.openxmlformats.org/officeDocument/2006/relationships/hyperlink" Target="http://www.westlaw.com/Find/Default.wl?rs=dfa1.0&amp;vr=2.0&amp;DB=506&amp;FindType=Y&amp;SerialNum=1999064604" TargetMode="External"/><Relationship Id="rId48" Type="http://schemas.openxmlformats.org/officeDocument/2006/relationships/hyperlink" Target="http://www.westlaw.com/Find/Default.wl?rs=dfa1.0&amp;vr=2.0&amp;DB=506&amp;FindType=Y&amp;SerialNum=1999061938" TargetMode="External"/><Relationship Id="rId49" Type="http://schemas.openxmlformats.org/officeDocument/2006/relationships/hyperlink" Target="http://www.westlaw.com/Find/Default.wl?rs=dfa1.0&amp;vr=2.0&amp;DB=506&amp;FindType=Y&amp;SerialNum=1999059978" TargetMode="External"/><Relationship Id="rId1" Type="http://schemas.openxmlformats.org/officeDocument/2006/relationships/hyperlink" Target="http://www.westlaw.com/Find/Default.wl?rs=dfa1.0&amp;vr=2.0&amp;DB=506&amp;FindType=Y&amp;SerialNum=1999223697" TargetMode="External"/><Relationship Id="rId2" Type="http://schemas.openxmlformats.org/officeDocument/2006/relationships/hyperlink" Target="http://www.westlaw.com/Find/Default.wl?rs=dfa1.0&amp;vr=2.0&amp;DB=506&amp;FindType=Y&amp;SerialNum=1999214298" TargetMode="External"/><Relationship Id="rId3" Type="http://schemas.openxmlformats.org/officeDocument/2006/relationships/hyperlink" Target="http://www.westlaw.com/Find/Default.wl?rs=dfa1.0&amp;vr=2.0&amp;DB=506&amp;FindType=Y&amp;SerialNum=2000036875" TargetMode="External"/><Relationship Id="rId4" Type="http://schemas.openxmlformats.org/officeDocument/2006/relationships/hyperlink" Target="http://www.westlaw.com/Find/Default.wl?rs=dfa1.0&amp;vr=2.0&amp;DB=506&amp;FindType=Y&amp;SerialNum=1999204920" TargetMode="External"/><Relationship Id="rId5" Type="http://schemas.openxmlformats.org/officeDocument/2006/relationships/hyperlink" Target="http://www.westlaw.com/Find/Default.wl?rs=dfa1.0&amp;vr=2.0&amp;DB=506&amp;FindType=Y&amp;SerialNum=1999202586" TargetMode="External"/><Relationship Id="rId6" Type="http://schemas.openxmlformats.org/officeDocument/2006/relationships/hyperlink" Target="http://www.westlaw.com/Find/Default.wl?rs=dfa1.0&amp;vr=2.0&amp;DB=506&amp;FindType=Y&amp;SerialNum=1999201697" TargetMode="External"/><Relationship Id="rId7" Type="http://schemas.openxmlformats.org/officeDocument/2006/relationships/hyperlink" Target="http://www.westlaw.com/Find/Default.wl?rs=dfa1.0&amp;vr=2.0&amp;DB=506&amp;FindType=Y&amp;SerialNum=1999199148" TargetMode="External"/><Relationship Id="rId8" Type="http://schemas.openxmlformats.org/officeDocument/2006/relationships/hyperlink" Target="http://www.westlaw.com/Find/Default.wl?rs=dfa1.0&amp;vr=2.0&amp;DB=506&amp;FindType=Y&amp;SerialNum=1999199219" TargetMode="External"/><Relationship Id="rId9" Type="http://schemas.openxmlformats.org/officeDocument/2006/relationships/hyperlink" Target="http://www.westlaw.com/Find/Default.wl?rs=dfa1.0&amp;vr=2.0&amp;DB=506&amp;FindType=Y&amp;SerialNum=1999197354" TargetMode="External"/><Relationship Id="rId30" Type="http://schemas.openxmlformats.org/officeDocument/2006/relationships/hyperlink" Target="http://www.westlaw.com/Find/Default.wl?rs=dfa1.0&amp;vr=2.0&amp;DB=506&amp;FindType=Y&amp;SerialNum=1999144199" TargetMode="External"/><Relationship Id="rId31" Type="http://schemas.openxmlformats.org/officeDocument/2006/relationships/hyperlink" Target="http://www.westlaw.com/Find/Default.wl?rs=dfa1.0&amp;vr=2.0&amp;DB=506&amp;FindType=Y&amp;SerialNum=1999143277" TargetMode="External"/><Relationship Id="rId32" Type="http://schemas.openxmlformats.org/officeDocument/2006/relationships/hyperlink" Target="http://www.westlaw.com/Find/Default.wl?rs=dfa1.0&amp;vr=2.0&amp;DB=506&amp;FindType=Y&amp;SerialNum=1999137666" TargetMode="External"/><Relationship Id="rId33" Type="http://schemas.openxmlformats.org/officeDocument/2006/relationships/hyperlink" Target="http://www.westlaw.com/Find/Default.wl?rs=dfa1.0&amp;vr=2.0&amp;DB=506&amp;FindType=Y&amp;SerialNum=1999132361" TargetMode="External"/><Relationship Id="rId34" Type="http://schemas.openxmlformats.org/officeDocument/2006/relationships/hyperlink" Target="http://www.westlaw.com/Find/Default.wl?rs=dfa1.0&amp;vr=2.0&amp;DB=506&amp;FindType=Y&amp;SerialNum=1999129333" TargetMode="External"/><Relationship Id="rId35" Type="http://schemas.openxmlformats.org/officeDocument/2006/relationships/hyperlink" Target="http://www.westlaw.com/Find/Default.wl?rs=dfa1.0&amp;vr=2.0&amp;DB=506&amp;FindType=Y&amp;SerialNum=1999124154" TargetMode="External"/><Relationship Id="rId36" Type="http://schemas.openxmlformats.org/officeDocument/2006/relationships/hyperlink" Target="http://www.westlaw.com/Find/Default.wl?rs=dfa1.0&amp;vr=2.0&amp;DB=506&amp;FindType=Y&amp;SerialNum=1999117819" TargetMode="External"/><Relationship Id="rId37" Type="http://schemas.openxmlformats.org/officeDocument/2006/relationships/hyperlink" Target="http://www.westlaw.com/Find/Default.wl?rs=dfa1.0&amp;vr=2.0&amp;DB=506&amp;FindType=Y&amp;SerialNum=1999115030" TargetMode="External"/><Relationship Id="rId38" Type="http://schemas.openxmlformats.org/officeDocument/2006/relationships/hyperlink" Target="http://www.westlaw.com/Find/Default.wl?rs=dfa1.0&amp;vr=2.0&amp;DB=506&amp;FindType=Y&amp;SerialNum=1999110491" TargetMode="External"/><Relationship Id="rId39" Type="http://schemas.openxmlformats.org/officeDocument/2006/relationships/hyperlink" Target="http://www.westlaw.com/Find/Default.wl?rs=dfa1.0&amp;vr=2.0&amp;DB=506&amp;FindType=Y&amp;SerialNum=1999100533" TargetMode="External"/><Relationship Id="rId70" Type="http://schemas.openxmlformats.org/officeDocument/2006/relationships/hyperlink" Target="http://www.westlaw.com/Find/Default.wl?rs=dfa1.0&amp;vr=2.0&amp;DB=4637&amp;FindType=Y&amp;SerialNum=1999209257" TargetMode="External"/><Relationship Id="rId71" Type="http://schemas.openxmlformats.org/officeDocument/2006/relationships/hyperlink" Target="http://www.westlaw.com/Find/Default.wl?rs=dfa1.0&amp;vr=2.0&amp;DB=4637&amp;FindType=Y&amp;SerialNum=2000100466" TargetMode="External"/><Relationship Id="rId20" Type="http://schemas.openxmlformats.org/officeDocument/2006/relationships/hyperlink" Target="http://www.westlaw.com/Find/Default.wl?rs=dfa1.0&amp;vr=2.0&amp;DB=506&amp;FindType=Y&amp;SerialNum=1999233831" TargetMode="External"/><Relationship Id="rId21" Type="http://schemas.openxmlformats.org/officeDocument/2006/relationships/hyperlink" Target="http://www.westlaw.com/Find/Default.wl?rs=dfa1.0&amp;vr=2.0&amp;DB=506&amp;FindType=Y&amp;SerialNum=1999154377" TargetMode="External"/><Relationship Id="rId22" Type="http://schemas.openxmlformats.org/officeDocument/2006/relationships/hyperlink" Target="http://www.westlaw.com/Find/Default.wl?rs=dfa1.0&amp;vr=2.0&amp;DB=506&amp;FindType=Y&amp;SerialNum=1999154378" TargetMode="External"/><Relationship Id="rId23" Type="http://schemas.openxmlformats.org/officeDocument/2006/relationships/hyperlink" Target="http://www.westlaw.com/Find/Default.wl?rs=dfa1.0&amp;vr=2.0&amp;DB=506&amp;FindType=Y&amp;SerialNum=1999154383" TargetMode="External"/><Relationship Id="rId24" Type="http://schemas.openxmlformats.org/officeDocument/2006/relationships/hyperlink" Target="http://www.westlaw.com/Find/Default.wl?rs=dfa1.0&amp;vr=2.0&amp;DB=506&amp;FindType=Y&amp;SerialNum=1999153226" TargetMode="External"/><Relationship Id="rId25" Type="http://schemas.openxmlformats.org/officeDocument/2006/relationships/hyperlink" Target="http://www.westlaw.com/Find/Default.wl?rs=dfa1.0&amp;vr=2.0&amp;DB=506&amp;FindType=Y&amp;SerialNum=1999153363" TargetMode="External"/><Relationship Id="rId26" Type="http://schemas.openxmlformats.org/officeDocument/2006/relationships/hyperlink" Target="http://www.westlaw.com/Find/Default.wl?rs=dfa1.0&amp;vr=2.0&amp;DB=506&amp;FindType=Y&amp;SerialNum=1999153366" TargetMode="External"/><Relationship Id="rId27" Type="http://schemas.openxmlformats.org/officeDocument/2006/relationships/hyperlink" Target="http://www.westlaw.com/Find/Default.wl?rs=dfa1.0&amp;vr=2.0&amp;DB=506&amp;FindType=Y&amp;SerialNum=1999150594" TargetMode="External"/><Relationship Id="rId28" Type="http://schemas.openxmlformats.org/officeDocument/2006/relationships/hyperlink" Target="http://www.westlaw.com/Find/Default.wl?rs=dfa1.0&amp;vr=2.0&amp;DB=506&amp;FindType=Y&amp;SerialNum=1999150595" TargetMode="External"/><Relationship Id="rId29" Type="http://schemas.openxmlformats.org/officeDocument/2006/relationships/hyperlink" Target="http://www.westlaw.com/Find/Default.wl?rs=dfa1.0&amp;vr=2.0&amp;DB=506&amp;FindType=Y&amp;SerialNum=1999150597" TargetMode="External"/><Relationship Id="rId60" Type="http://schemas.openxmlformats.org/officeDocument/2006/relationships/hyperlink" Target="http://www.westlaw.com/Find/Default.wl?rs=dfa1.0&amp;vr=2.0&amp;DB=506&amp;FindType=Y&amp;SerialNum=1998253577" TargetMode="External"/><Relationship Id="rId61" Type="http://schemas.openxmlformats.org/officeDocument/2006/relationships/hyperlink" Target="http://www.westlaw.com/Find/Default.wl?rs=dfa1.0&amp;vr=2.0&amp;DB=506&amp;FindType=Y&amp;SerialNum=1998251161" TargetMode="External"/><Relationship Id="rId62" Type="http://schemas.openxmlformats.org/officeDocument/2006/relationships/hyperlink" Target="http://www.westlaw.com/Find/Default.wl?rs=dfa1.0&amp;vr=2.0&amp;DB=506&amp;FindType=Y&amp;SerialNum=1998251186" TargetMode="External"/><Relationship Id="rId10" Type="http://schemas.openxmlformats.org/officeDocument/2006/relationships/hyperlink" Target="http://www.westlaw.com/Find/Default.wl?rs=dfa1.0&amp;vr=2.0&amp;FindType=Y&amp;SerialNum=2009358428" TargetMode="External"/><Relationship Id="rId11" Type="http://schemas.openxmlformats.org/officeDocument/2006/relationships/hyperlink" Target="http://www.westlaw.com/Find/Default.wl?rs=dfa1.0&amp;vr=2.0&amp;DB=506&amp;FindType=Y&amp;SerialNum=1999187418" TargetMode="External"/><Relationship Id="rId12" Type="http://schemas.openxmlformats.org/officeDocument/2006/relationships/hyperlink" Target="http://www.westlaw.com/Find/Default.wl?rs=dfa1.0&amp;vr=2.0&amp;DB=506&amp;FindType=Y&amp;SerialNum=1999183945" TargetMode="External"/></Relationships>
</file>

<file path=xl/worksheets/_rels/sheet15.xml.rels><?xml version="1.0" encoding="UTF-8" standalone="yes"?>
<Relationships xmlns="http://schemas.openxmlformats.org/package/2006/relationships"><Relationship Id="rId142" Type="http://schemas.openxmlformats.org/officeDocument/2006/relationships/hyperlink" Target="http://www.westlaw.com/Find/Default.wl?rs=dfa1.0&amp;vr=2.0&amp;DB=506&amp;FindType=Y&amp;SerialNum=2003112519" TargetMode="External"/><Relationship Id="rId143" Type="http://schemas.openxmlformats.org/officeDocument/2006/relationships/hyperlink" Target="http://www.westlaw.com/Find/Default.wl?rs=dfa1.0&amp;vr=2.0&amp;DB=6538&amp;FindType=Y&amp;SerialNum=2003111062" TargetMode="External"/><Relationship Id="rId144" Type="http://schemas.openxmlformats.org/officeDocument/2006/relationships/hyperlink" Target="http://www.westlaw.com/Find/Default.wl?rs=dfa1.0&amp;vr=2.0&amp;DB=506&amp;FindType=Y&amp;SerialNum=2003112355" TargetMode="External"/><Relationship Id="rId145" Type="http://schemas.openxmlformats.org/officeDocument/2006/relationships/hyperlink" Target="http://www.westlaw.com/Find/Default.wl?rs=dfa1.0&amp;vr=2.0&amp;FindType=Y&amp;SerialNum=2003096588" TargetMode="External"/><Relationship Id="rId146" Type="http://schemas.openxmlformats.org/officeDocument/2006/relationships/hyperlink" Target="http://www.westlaw.com/Find/Default.wl?rs=dfa1.0&amp;vr=2.0&amp;DB=6538&amp;FindType=Y&amp;SerialNum=2003098434" TargetMode="External"/><Relationship Id="rId147" Type="http://schemas.openxmlformats.org/officeDocument/2006/relationships/hyperlink" Target="http://www.westlaw.com/Find/Default.wl?rs=dfa1.0&amp;vr=2.0&amp;DB=6538&amp;FindType=Y&amp;SerialNum=2003112226" TargetMode="External"/><Relationship Id="rId148" Type="http://schemas.openxmlformats.org/officeDocument/2006/relationships/hyperlink" Target="http://www.westlaw.com/Find/Default.wl?rs=dfa1.0&amp;vr=2.0&amp;DB=6538&amp;FindType=Y&amp;SerialNum=2003161088" TargetMode="External"/><Relationship Id="rId149" Type="http://schemas.openxmlformats.org/officeDocument/2006/relationships/hyperlink" Target="http://www.westlaw.com/Find/Default.wl?rs=dfa1.0&amp;vr=2.0&amp;DB=6538&amp;FindType=Y&amp;SerialNum=2003096560" TargetMode="External"/><Relationship Id="rId180" Type="http://schemas.openxmlformats.org/officeDocument/2006/relationships/hyperlink" Target="http://www.westlaw.com/Find/Default.wl?rs=dfa1.0&amp;vr=2.0&amp;DB=506&amp;FindType=Y&amp;SerialNum=2002764022" TargetMode="External"/><Relationship Id="rId181" Type="http://schemas.openxmlformats.org/officeDocument/2006/relationships/hyperlink" Target="http://www.westlaw.com/Find/Default.wl?rs=dfa1.0&amp;vr=2.0&amp;DB=6538&amp;FindType=Y&amp;SerialNum=2002729128" TargetMode="External"/><Relationship Id="rId182" Type="http://schemas.openxmlformats.org/officeDocument/2006/relationships/hyperlink" Target="http://www.westlaw.com/Find/Default.wl?rs=dfa1.0&amp;vr=2.0&amp;DB=6538&amp;FindType=Y&amp;SerialNum=2003046414" TargetMode="External"/><Relationship Id="rId40" Type="http://schemas.openxmlformats.org/officeDocument/2006/relationships/hyperlink" Target="http://www.westlaw.com/Find/Default.wl?rs=dfa1.0&amp;vr=2.0&amp;DB=6538&amp;FindType=Y&amp;SerialNum=2003603767" TargetMode="External"/><Relationship Id="rId41" Type="http://schemas.openxmlformats.org/officeDocument/2006/relationships/hyperlink" Target="http://www.westlaw.com/Find/Default.wl?rs=dfa1.0&amp;vr=2.0&amp;DB=6538&amp;FindType=Y&amp;SerialNum=2003551401" TargetMode="External"/><Relationship Id="rId42" Type="http://schemas.openxmlformats.org/officeDocument/2006/relationships/hyperlink" Target="http://www.westlaw.com/Find/Default.wl?rs=dfa1.0&amp;vr=2.0&amp;DB=6538&amp;FindType=Y&amp;SerialNum=2003623536" TargetMode="External"/><Relationship Id="rId43" Type="http://schemas.openxmlformats.org/officeDocument/2006/relationships/hyperlink" Target="http://www.westlaw.com/Find/Default.wl?rs=dfa1.0&amp;vr=2.0&amp;DB=6538&amp;FindType=Y&amp;SerialNum=2003550826" TargetMode="External"/><Relationship Id="rId44" Type="http://schemas.openxmlformats.org/officeDocument/2006/relationships/hyperlink" Target="http://www.westlaw.com/Find/Default.wl?rs=dfa1.0&amp;vr=2.0&amp;DB=6538&amp;FindType=Y&amp;SerialNum=2003537292" TargetMode="External"/><Relationship Id="rId45" Type="http://schemas.openxmlformats.org/officeDocument/2006/relationships/hyperlink" Target="http://www.westlaw.com/Find/Default.wl?rs=dfa1.0&amp;vr=2.0&amp;DB=6538&amp;FindType=Y&amp;SerialNum=2003528357" TargetMode="External"/><Relationship Id="rId46" Type="http://schemas.openxmlformats.org/officeDocument/2006/relationships/hyperlink" Target="http://www.westlaw.com/Find/Default.wl?rs=dfa1.0&amp;vr=2.0&amp;DB=6538&amp;FindType=Y&amp;SerialNum=2003528359" TargetMode="External"/><Relationship Id="rId47" Type="http://schemas.openxmlformats.org/officeDocument/2006/relationships/hyperlink" Target="http://www.westlaw.com/Find/Default.wl?rs=dfa1.0&amp;vr=2.0&amp;DB=6538&amp;FindType=Y&amp;SerialNum=2003551239" TargetMode="External"/><Relationship Id="rId48" Type="http://schemas.openxmlformats.org/officeDocument/2006/relationships/hyperlink" Target="http://www.westlaw.com/Find/Default.wl?rs=dfa1.0&amp;vr=2.0&amp;DB=506&amp;FindType=Y&amp;SerialNum=2003521950" TargetMode="External"/><Relationship Id="rId49" Type="http://schemas.openxmlformats.org/officeDocument/2006/relationships/hyperlink" Target="http://www.westlaw.com/Find/Default.wl?rs=dfa1.0&amp;vr=2.0&amp;DB=6538&amp;FindType=Y&amp;SerialNum=2003503835" TargetMode="External"/><Relationship Id="rId183" Type="http://schemas.openxmlformats.org/officeDocument/2006/relationships/hyperlink" Target="http://www.westlaw.com/Find/Default.wl?rs=dfa1.0&amp;vr=2.0&amp;DB=6538&amp;FindType=Y&amp;SerialNum=2002714630" TargetMode="External"/><Relationship Id="rId184" Type="http://schemas.openxmlformats.org/officeDocument/2006/relationships/hyperlink" Target="http://www.westlaw.com/Find/Default.wl?rs=dfa1.0&amp;vr=2.0&amp;DB=506&amp;FindType=Y&amp;SerialNum=2002689979" TargetMode="External"/><Relationship Id="rId185" Type="http://schemas.openxmlformats.org/officeDocument/2006/relationships/hyperlink" Target="http://www.westlaw.com/Find/Default.wl?rs=dfa1.0&amp;vr=2.0&amp;DB=6538&amp;FindType=Y&amp;SerialNum=2002687670" TargetMode="External"/><Relationship Id="rId186" Type="http://schemas.openxmlformats.org/officeDocument/2006/relationships/hyperlink" Target="http://www.westlaw.com/Find/Default.wl?rs=dfa1.0&amp;vr=2.0&amp;DB=6538&amp;FindType=Y&amp;SerialNum=2002683500" TargetMode="External"/><Relationship Id="rId187" Type="http://schemas.openxmlformats.org/officeDocument/2006/relationships/hyperlink" Target="http://www.westlaw.com/Find/Default.wl?rs=dfa1.0&amp;vr=2.0&amp;DB=6538&amp;FindType=Y&amp;SerialNum=2002683502" TargetMode="External"/><Relationship Id="rId188" Type="http://schemas.openxmlformats.org/officeDocument/2006/relationships/hyperlink" Target="http://www.westlaw.com/Find/Default.wl?rs=dfa1.0&amp;vr=2.0&amp;DB=6538&amp;FindType=Y&amp;SerialNum=2002706479" TargetMode="External"/><Relationship Id="rId189" Type="http://schemas.openxmlformats.org/officeDocument/2006/relationships/hyperlink" Target="http://www.westlaw.com/Find/Default.wl?rs=dfa1.0&amp;vr=2.0&amp;DB=6538&amp;FindType=Y&amp;SerialNum=2002664632" TargetMode="External"/><Relationship Id="rId80" Type="http://schemas.openxmlformats.org/officeDocument/2006/relationships/hyperlink" Target="http://www.westlaw.com/Find/Default.wl?rs=dfa1.0&amp;vr=2.0&amp;DB=6538&amp;FindType=Y&amp;SerialNum=2003318624" TargetMode="External"/><Relationship Id="rId81" Type="http://schemas.openxmlformats.org/officeDocument/2006/relationships/hyperlink" Target="http://www.westlaw.com/Find/Default.wl?rs=dfa1.0&amp;vr=2.0&amp;DB=6538&amp;FindType=Y&amp;SerialNum=2003320781" TargetMode="External"/><Relationship Id="rId82" Type="http://schemas.openxmlformats.org/officeDocument/2006/relationships/hyperlink" Target="http://www.westlaw.com/Find/Default.wl?rs=dfa1.0&amp;vr=2.0&amp;DB=6538&amp;FindType=Y&amp;SerialNum=2003318622" TargetMode="External"/><Relationship Id="rId83" Type="http://schemas.openxmlformats.org/officeDocument/2006/relationships/hyperlink" Target="http://www.westlaw.com/Find/Default.wl?rs=dfa1.0&amp;vr=2.0&amp;DB=6538&amp;FindType=Y&amp;SerialNum=2003318623" TargetMode="External"/><Relationship Id="rId84" Type="http://schemas.openxmlformats.org/officeDocument/2006/relationships/hyperlink" Target="http://www.westlaw.com/Find/Default.wl?rs=dfa1.0&amp;vr=2.0&amp;DB=6538&amp;FindType=Y&amp;SerialNum=2003314114" TargetMode="External"/><Relationship Id="rId85" Type="http://schemas.openxmlformats.org/officeDocument/2006/relationships/hyperlink" Target="http://www.westlaw.com/Find/Default.wl?rs=dfa1.0&amp;vr=2.0&amp;DB=6538&amp;FindType=Y&amp;SerialNum=2003314115" TargetMode="External"/><Relationship Id="rId86" Type="http://schemas.openxmlformats.org/officeDocument/2006/relationships/hyperlink" Target="http://www.westlaw.com/Find/Default.wl?rs=dfa1.0&amp;vr=2.0&amp;DB=6538&amp;FindType=Y&amp;SerialNum=2003306866" TargetMode="External"/><Relationship Id="rId87" Type="http://schemas.openxmlformats.org/officeDocument/2006/relationships/hyperlink" Target="http://www.westlaw.com/Find/Default.wl?rs=dfa1.0&amp;vr=2.0&amp;DB=6538&amp;FindType=Y&amp;SerialNum=2003306867" TargetMode="External"/><Relationship Id="rId88" Type="http://schemas.openxmlformats.org/officeDocument/2006/relationships/hyperlink" Target="http://www.westlaw.com/Find/Default.wl?rs=dfa1.0&amp;vr=2.0&amp;DB=6538&amp;FindType=Y&amp;SerialNum=2003308207" TargetMode="External"/><Relationship Id="rId89" Type="http://schemas.openxmlformats.org/officeDocument/2006/relationships/hyperlink" Target="http://www.westlaw.com/Find/Default.wl?rs=dfa1.0&amp;vr=2.0&amp;DB=6538&amp;FindType=Y&amp;SerialNum=2003308210" TargetMode="External"/><Relationship Id="rId110" Type="http://schemas.openxmlformats.org/officeDocument/2006/relationships/hyperlink" Target="http://www.westlaw.com/Find/Default.wl?rs=dfa1.0&amp;vr=2.0&amp;DB=6538&amp;FindType=Y&amp;SerialNum=2003256963" TargetMode="External"/><Relationship Id="rId111" Type="http://schemas.openxmlformats.org/officeDocument/2006/relationships/hyperlink" Target="http://www.westlaw.com/Find/Default.wl?rs=dfa1.0&amp;vr=2.0&amp;DB=6538&amp;FindType=Y&amp;SerialNum=2003226903" TargetMode="External"/><Relationship Id="rId112" Type="http://schemas.openxmlformats.org/officeDocument/2006/relationships/hyperlink" Target="http://www.westlaw.com/Find/Default.wl?rs=dfa1.0&amp;vr=2.0&amp;DB=506&amp;FindType=Y&amp;SerialNum=2003212659" TargetMode="External"/><Relationship Id="rId113" Type="http://schemas.openxmlformats.org/officeDocument/2006/relationships/hyperlink" Target="http://www.westlaw.com/Find/Default.wl?rs=dfa1.0&amp;vr=2.0&amp;DB=506&amp;FindType=Y&amp;SerialNum=2003212666" TargetMode="External"/><Relationship Id="rId114" Type="http://schemas.openxmlformats.org/officeDocument/2006/relationships/hyperlink" Target="http://www.westlaw.com/Find/Default.wl?rs=dfa1.0&amp;vr=2.0&amp;DB=6538&amp;FindType=Y&amp;SerialNum=2003226898" TargetMode="External"/><Relationship Id="rId115" Type="http://schemas.openxmlformats.org/officeDocument/2006/relationships/hyperlink" Target="http://www.westlaw.com/Find/Default.wl?rs=dfa1.0&amp;vr=2.0&amp;DB=6538&amp;FindType=Y&amp;SerialNum=2003226901" TargetMode="External"/><Relationship Id="rId116" Type="http://schemas.openxmlformats.org/officeDocument/2006/relationships/hyperlink" Target="http://www.westlaw.com/Find/Default.wl?rs=dfa1.0&amp;vr=2.0&amp;DB=6538&amp;FindType=Y&amp;SerialNum=2003211569" TargetMode="External"/><Relationship Id="rId117" Type="http://schemas.openxmlformats.org/officeDocument/2006/relationships/hyperlink" Target="http://www.westlaw.com/Find/Default.wl?rs=dfa1.0&amp;vr=2.0&amp;DB=6538&amp;FindType=Y&amp;SerialNum=2003205962" TargetMode="External"/><Relationship Id="rId118" Type="http://schemas.openxmlformats.org/officeDocument/2006/relationships/hyperlink" Target="http://www.westlaw.com/Find/Default.wl?rs=dfa1.0&amp;vr=2.0&amp;DB=6538&amp;FindType=Y&amp;SerialNum=2003212778" TargetMode="External"/><Relationship Id="rId119" Type="http://schemas.openxmlformats.org/officeDocument/2006/relationships/hyperlink" Target="http://www.westlaw.com/Find/Default.wl?rs=dfa1.0&amp;vr=2.0&amp;DB=6538&amp;FindType=Y&amp;SerialNum=2003204929" TargetMode="External"/><Relationship Id="rId150" Type="http://schemas.openxmlformats.org/officeDocument/2006/relationships/hyperlink" Target="http://www.westlaw.com/Find/Default.wl?rs=dfa1.0&amp;vr=2.0&amp;DB=6538&amp;FindType=Y&amp;SerialNum=2003096585" TargetMode="External"/><Relationship Id="rId151" Type="http://schemas.openxmlformats.org/officeDocument/2006/relationships/hyperlink" Target="http://www.westlaw.com/Find/Default.wl?rs=dfa1.0&amp;vr=2.0&amp;DB=6538&amp;FindType=Y&amp;SerialNum=2003098435" TargetMode="External"/><Relationship Id="rId152" Type="http://schemas.openxmlformats.org/officeDocument/2006/relationships/hyperlink" Target="http://www.westlaw.com/Find/Default.wl?rs=dfa1.0&amp;vr=2.0&amp;DB=6538&amp;FindType=Y&amp;SerialNum=2003148928" TargetMode="External"/><Relationship Id="rId10" Type="http://schemas.openxmlformats.org/officeDocument/2006/relationships/hyperlink" Target="http://www.westlaw.com/Find/Default.wl?rs=dfa1.0&amp;vr=2.0&amp;DB=6538&amp;FindType=Y&amp;SerialNum=2003662161" TargetMode="External"/><Relationship Id="rId11" Type="http://schemas.openxmlformats.org/officeDocument/2006/relationships/hyperlink" Target="http://www.westlaw.com/Find/Default.wl?rs=dfa1.0&amp;vr=2.0&amp;DB=6538&amp;FindType=Y&amp;SerialNum=2003659074" TargetMode="External"/><Relationship Id="rId12" Type="http://schemas.openxmlformats.org/officeDocument/2006/relationships/hyperlink" Target="http://www.westlaw.com/Find/Default.wl?rs=dfa1.0&amp;vr=2.0&amp;DB=6538&amp;FindType=Y&amp;SerialNum=2003659075" TargetMode="External"/><Relationship Id="rId13" Type="http://schemas.openxmlformats.org/officeDocument/2006/relationships/hyperlink" Target="http://www.westlaw.com/Find/Default.wl?rs=dfa1.0&amp;vr=2.0&amp;DB=6538&amp;FindType=Y&amp;SerialNum=2003659076" TargetMode="External"/><Relationship Id="rId14" Type="http://schemas.openxmlformats.org/officeDocument/2006/relationships/hyperlink" Target="http://www.westlaw.com/Find/Default.wl?rs=dfa1.0&amp;vr=2.0&amp;DB=6538&amp;FindType=Y&amp;SerialNum=2003659077" TargetMode="External"/><Relationship Id="rId15" Type="http://schemas.openxmlformats.org/officeDocument/2006/relationships/hyperlink" Target="http://www.westlaw.com/Find/Default.wl?rs=dfa1.0&amp;vr=2.0&amp;DB=6538&amp;FindType=Y&amp;SerialNum=2003659078" TargetMode="External"/><Relationship Id="rId16" Type="http://schemas.openxmlformats.org/officeDocument/2006/relationships/hyperlink" Target="http://www.westlaw.com/Find/Default.wl?rs=dfa1.0&amp;vr=2.0&amp;DB=6538&amp;FindType=Y&amp;SerialNum=2003652996" TargetMode="External"/><Relationship Id="rId17" Type="http://schemas.openxmlformats.org/officeDocument/2006/relationships/hyperlink" Target="http://www.westlaw.com/Find/Default.wl?rs=dfa1.0&amp;vr=2.0&amp;DB=6538&amp;FindType=Y&amp;SerialNum=2003693668" TargetMode="External"/><Relationship Id="rId18" Type="http://schemas.openxmlformats.org/officeDocument/2006/relationships/hyperlink" Target="http://www.westlaw.com/Find/Default.wl?rs=dfa1.0&amp;vr=2.0&amp;DB=6538&amp;FindType=Y&amp;SerialNum=2003630655" TargetMode="External"/><Relationship Id="rId19" Type="http://schemas.openxmlformats.org/officeDocument/2006/relationships/hyperlink" Target="http://www.westlaw.com/Find/Default.wl?rs=dfa1.0&amp;vr=2.0&amp;DB=506&amp;FindType=Y&amp;SerialNum=2003622365" TargetMode="External"/><Relationship Id="rId153" Type="http://schemas.openxmlformats.org/officeDocument/2006/relationships/hyperlink" Target="http://www.westlaw.com/Find/Default.wl?rs=dfa1.0&amp;vr=2.0&amp;DB=506&amp;FindType=Y&amp;SerialNum=2003090394" TargetMode="External"/><Relationship Id="rId154" Type="http://schemas.openxmlformats.org/officeDocument/2006/relationships/hyperlink" Target="http://www.westlaw.com/Find/Default.wl?rs=dfa1.0&amp;vr=2.0&amp;DB=506&amp;FindType=Y&amp;SerialNum=2003090395" TargetMode="External"/><Relationship Id="rId155" Type="http://schemas.openxmlformats.org/officeDocument/2006/relationships/hyperlink" Target="http://www.westlaw.com/Find/Default.wl?rs=dfa1.0&amp;vr=2.0&amp;DB=6538&amp;FindType=Y&amp;SerialNum=2003096586" TargetMode="External"/><Relationship Id="rId156" Type="http://schemas.openxmlformats.org/officeDocument/2006/relationships/hyperlink" Target="http://www.westlaw.com/Find/Default.wl?rs=dfa1.0&amp;vr=2.0&amp;DB=6538&amp;FindType=Y&amp;SerialNum=2003096587" TargetMode="External"/><Relationship Id="rId157" Type="http://schemas.openxmlformats.org/officeDocument/2006/relationships/hyperlink" Target="http://www.westlaw.com/Find/Default.wl?rs=dfa1.0&amp;vr=2.0&amp;DB=506&amp;FindType=Y&amp;SerialNum=2003078020" TargetMode="External"/><Relationship Id="rId158" Type="http://schemas.openxmlformats.org/officeDocument/2006/relationships/hyperlink" Target="http://www.westlaw.com/Find/Default.wl?rs=dfa1.0&amp;vr=2.0&amp;DB=6538&amp;FindType=Y&amp;SerialNum=2003078053" TargetMode="External"/><Relationship Id="rId159" Type="http://schemas.openxmlformats.org/officeDocument/2006/relationships/hyperlink" Target="http://www.westlaw.com/Find/Default.wl?rs=dfa1.0&amp;vr=2.0&amp;DB=6538&amp;FindType=Y&amp;SerialNum=2003148929" TargetMode="External"/><Relationship Id="rId190" Type="http://schemas.openxmlformats.org/officeDocument/2006/relationships/hyperlink" Target="http://www.westlaw.com/Find/Default.wl?rs=dfa1.0&amp;vr=2.0&amp;DB=6538&amp;FindType=Y&amp;SerialNum=2002662603" TargetMode="External"/><Relationship Id="rId191" Type="http://schemas.openxmlformats.org/officeDocument/2006/relationships/hyperlink" Target="http://www.westlaw.com/Find/Default.wl?rs=dfa1.0&amp;vr=2.0&amp;DB=506&amp;FindType=Y&amp;SerialNum=2002665413" TargetMode="External"/><Relationship Id="rId192" Type="http://schemas.openxmlformats.org/officeDocument/2006/relationships/hyperlink" Target="http://www.westlaw.com/Find/Default.wl?rs=dfa1.0&amp;vr=2.0&amp;DB=6538&amp;FindType=Y&amp;SerialNum=2002654498" TargetMode="External"/><Relationship Id="rId50" Type="http://schemas.openxmlformats.org/officeDocument/2006/relationships/hyperlink" Target="http://www.westlaw.com/Find/Default.wl?rs=dfa1.0&amp;vr=2.0&amp;DB=6538&amp;FindType=Y&amp;SerialNum=2003503836" TargetMode="External"/><Relationship Id="rId51" Type="http://schemas.openxmlformats.org/officeDocument/2006/relationships/hyperlink" Target="http://www.westlaw.com/Find/Default.wl?rs=dfa1.0&amp;vr=2.0&amp;DB=6538&amp;FindType=Y&amp;SerialNum=2003551236" TargetMode="External"/><Relationship Id="rId52" Type="http://schemas.openxmlformats.org/officeDocument/2006/relationships/hyperlink" Target="http://www.westlaw.com/Find/Default.wl?rs=dfa1.0&amp;vr=2.0&amp;DB=6538&amp;FindType=Y&amp;SerialNum=2003482946" TargetMode="External"/><Relationship Id="rId53" Type="http://schemas.openxmlformats.org/officeDocument/2006/relationships/hyperlink" Target="http://www.westlaw.com/Find/Default.wl?rs=dfa1.0&amp;vr=2.0&amp;DB=6538&amp;FindType=Y&amp;SerialNum=2003462209" TargetMode="External"/><Relationship Id="rId54" Type="http://schemas.openxmlformats.org/officeDocument/2006/relationships/hyperlink" Target="http://www.westlaw.com/Find/Default.wl?rs=dfa1.0&amp;vr=2.0&amp;DB=506&amp;FindType=Y&amp;SerialNum=2003452512" TargetMode="External"/><Relationship Id="rId55" Type="http://schemas.openxmlformats.org/officeDocument/2006/relationships/hyperlink" Target="http://www.westlaw.com/Find/Default.wl?rs=dfa1.0&amp;vr=2.0&amp;DB=6538&amp;FindType=Y&amp;SerialNum=2003452307" TargetMode="External"/><Relationship Id="rId56" Type="http://schemas.openxmlformats.org/officeDocument/2006/relationships/hyperlink" Target="http://www.westlaw.com/Find/Default.wl?rs=dfa1.0&amp;vr=2.0&amp;DB=6538&amp;FindType=Y&amp;SerialNum=2003452309" TargetMode="External"/><Relationship Id="rId57" Type="http://schemas.openxmlformats.org/officeDocument/2006/relationships/hyperlink" Target="http://www.westlaw.com/Find/Default.wl?rs=dfa1.0&amp;vr=2.0&amp;DB=6538&amp;FindType=Y&amp;SerialNum=2003452311" TargetMode="External"/><Relationship Id="rId58" Type="http://schemas.openxmlformats.org/officeDocument/2006/relationships/hyperlink" Target="http://www.westlaw.com/Find/Default.wl?rs=dfa1.0&amp;vr=2.0&amp;DB=6538&amp;FindType=Y&amp;SerialNum=2003452315" TargetMode="External"/><Relationship Id="rId59" Type="http://schemas.openxmlformats.org/officeDocument/2006/relationships/hyperlink" Target="http://www.westlaw.com/Find/Default.wl?rs=dfa1.0&amp;vr=2.0&amp;DB=6538&amp;FindType=Y&amp;SerialNum=2003452312" TargetMode="External"/><Relationship Id="rId193" Type="http://schemas.openxmlformats.org/officeDocument/2006/relationships/hyperlink" Target="http://www.westlaw.com/Find/Default.wl?rs=dfa1.0&amp;vr=2.0&amp;DB=6538&amp;FindType=Y&amp;SerialNum=2002651999" TargetMode="External"/><Relationship Id="rId194" Type="http://schemas.openxmlformats.org/officeDocument/2006/relationships/hyperlink" Target="http://www.westlaw.com/Find/Default.wl?rs=dfa1.0&amp;vr=2.0&amp;DB=6538&amp;FindType=Y&amp;SerialNum=2002648670" TargetMode="External"/><Relationship Id="rId195" Type="http://schemas.openxmlformats.org/officeDocument/2006/relationships/hyperlink" Target="http://www.westlaw.com/Find/Default.wl?rs=dfa1.0&amp;vr=2.0&amp;DB=6538&amp;FindType=Y&amp;SerialNum=2002706478" TargetMode="External"/><Relationship Id="rId196" Type="http://schemas.openxmlformats.org/officeDocument/2006/relationships/hyperlink" Target="http://www.westlaw.com/Find/Default.wl?rs=dfa1.0&amp;vr=2.0&amp;DB=506&amp;FindType=Y&amp;SerialNum=2003598605" TargetMode="External"/><Relationship Id="rId197" Type="http://schemas.openxmlformats.org/officeDocument/2006/relationships/hyperlink" Target="http://www.westlaw.com/Find/Default.wl?rs=dfa1.0&amp;vr=2.0&amp;DB=506&amp;FindType=Y&amp;SerialNum=2003371353" TargetMode="External"/><Relationship Id="rId198" Type="http://schemas.openxmlformats.org/officeDocument/2006/relationships/hyperlink" Target="http://www.westlaw.com/Find/Default.wl?rs=dfa1.0&amp;vr=2.0&amp;DB=4637&amp;FindType=Y&amp;SerialNum=2003612798" TargetMode="External"/><Relationship Id="rId199" Type="http://schemas.openxmlformats.org/officeDocument/2006/relationships/hyperlink" Target="http://www.westlaw.com/Find/Default.wl?rs=dfa1.0&amp;vr=2.0&amp;DB=4637&amp;FindType=Y&amp;SerialNum=2003582750" TargetMode="External"/><Relationship Id="rId90" Type="http://schemas.openxmlformats.org/officeDocument/2006/relationships/hyperlink" Target="http://www.westlaw.com/Find/Default.wl?rs=dfa1.0&amp;vr=2.0&amp;DB=6538&amp;FindType=Y&amp;SerialNum=2003300684" TargetMode="External"/><Relationship Id="rId91" Type="http://schemas.openxmlformats.org/officeDocument/2006/relationships/hyperlink" Target="http://www.westlaw.com/Find/Default.wl?rs=dfa1.0&amp;vr=2.0&amp;DB=506&amp;FindType=Y&amp;SerialNum=2003293999" TargetMode="External"/><Relationship Id="rId92" Type="http://schemas.openxmlformats.org/officeDocument/2006/relationships/hyperlink" Target="http://www.westlaw.com/Find/Default.wl?rs=dfa1.0&amp;vr=2.0&amp;DB=6538&amp;FindType=Y&amp;SerialNum=2003294046" TargetMode="External"/><Relationship Id="rId93" Type="http://schemas.openxmlformats.org/officeDocument/2006/relationships/hyperlink" Target="http://www.westlaw.com/Find/Default.wl?rs=dfa1.0&amp;vr=2.0&amp;DB=6538&amp;FindType=Y&amp;SerialNum=2003294050" TargetMode="External"/><Relationship Id="rId94" Type="http://schemas.openxmlformats.org/officeDocument/2006/relationships/hyperlink" Target="http://www.westlaw.com/Find/Default.wl?rs=dfa1.0&amp;vr=2.0&amp;DB=6538&amp;FindType=Y&amp;SerialNum=2003294051" TargetMode="External"/><Relationship Id="rId95" Type="http://schemas.openxmlformats.org/officeDocument/2006/relationships/hyperlink" Target="http://www.westlaw.com/Find/Default.wl?rs=dfa1.0&amp;vr=2.0&amp;DB=6538&amp;FindType=Y&amp;SerialNum=2003294052" TargetMode="External"/><Relationship Id="rId96" Type="http://schemas.openxmlformats.org/officeDocument/2006/relationships/hyperlink" Target="http://www.westlaw.com/Find/Default.wl?rs=dfa1.0&amp;vr=2.0&amp;DB=6538&amp;FindType=Y&amp;SerialNum=2003305831" TargetMode="External"/><Relationship Id="rId97" Type="http://schemas.openxmlformats.org/officeDocument/2006/relationships/hyperlink" Target="http://www.westlaw.com/Find/Default.wl?rs=dfa1.0&amp;vr=2.0&amp;DB=6538&amp;FindType=Y&amp;SerialNum=2003318625" TargetMode="External"/><Relationship Id="rId98" Type="http://schemas.openxmlformats.org/officeDocument/2006/relationships/hyperlink" Target="http://www.westlaw.com/Find/Default.wl?rs=dfa1.0&amp;vr=2.0&amp;DB=6538&amp;FindType=Y&amp;SerialNum=2003289207" TargetMode="External"/><Relationship Id="rId99" Type="http://schemas.openxmlformats.org/officeDocument/2006/relationships/hyperlink" Target="http://www.westlaw.com/Find/Default.wl?rs=dfa1.0&amp;vr=2.0&amp;DB=6538&amp;FindType=Y&amp;SerialNum=2003286367" TargetMode="External"/><Relationship Id="rId120" Type="http://schemas.openxmlformats.org/officeDocument/2006/relationships/hyperlink" Target="http://www.westlaw.com/Find/Default.wl?rs=dfa1.0&amp;vr=2.0&amp;DB=506&amp;FindType=Y&amp;SerialNum=2003198128" TargetMode="External"/><Relationship Id="rId121" Type="http://schemas.openxmlformats.org/officeDocument/2006/relationships/hyperlink" Target="http://www.westlaw.com/Find/Default.wl?rs=dfa1.0&amp;vr=2.0&amp;DB=6538&amp;FindType=Y&amp;SerialNum=2003197234" TargetMode="External"/><Relationship Id="rId122" Type="http://schemas.openxmlformats.org/officeDocument/2006/relationships/hyperlink" Target="http://www.westlaw.com/Find/Default.wl?rs=dfa1.0&amp;vr=2.0&amp;DB=6538&amp;FindType=Y&amp;SerialNum=2003197235" TargetMode="External"/><Relationship Id="rId123" Type="http://schemas.openxmlformats.org/officeDocument/2006/relationships/hyperlink" Target="http://www.westlaw.com/Find/Default.wl?rs=dfa1.0&amp;vr=2.0&amp;DB=506&amp;FindType=Y&amp;SerialNum=2003197955" TargetMode="External"/><Relationship Id="rId124" Type="http://schemas.openxmlformats.org/officeDocument/2006/relationships/hyperlink" Target="http://www.westlaw.com/Find/Default.wl?rs=dfa1.0&amp;vr=2.0&amp;DB=6538&amp;FindType=Y&amp;SerialNum=2003305871" TargetMode="External"/><Relationship Id="rId125" Type="http://schemas.openxmlformats.org/officeDocument/2006/relationships/hyperlink" Target="http://www.westlaw.com/Find/Default.wl?rs=dfa1.0&amp;vr=2.0&amp;DB=6538&amp;FindType=Y&amp;SerialNum=2003305852" TargetMode="External"/><Relationship Id="rId126" Type="http://schemas.openxmlformats.org/officeDocument/2006/relationships/hyperlink" Target="http://www.westlaw.com/Find/Default.wl?rs=dfa1.0&amp;vr=2.0&amp;DB=506&amp;FindType=Y&amp;SerialNum=2003185453" TargetMode="External"/><Relationship Id="rId127" Type="http://schemas.openxmlformats.org/officeDocument/2006/relationships/hyperlink" Target="http://www.westlaw.com/Find/Default.wl?rs=dfa1.0&amp;vr=2.0&amp;DB=6538&amp;FindType=Y&amp;SerialNum=2003178235" TargetMode="External"/><Relationship Id="rId128" Type="http://schemas.openxmlformats.org/officeDocument/2006/relationships/hyperlink" Target="http://www.westlaw.com/Find/Default.wl?rs=dfa1.0&amp;vr=2.0&amp;DB=6538&amp;FindType=Y&amp;SerialNum=2003176963" TargetMode="External"/><Relationship Id="rId129" Type="http://schemas.openxmlformats.org/officeDocument/2006/relationships/hyperlink" Target="http://www.westlaw.com/Find/Default.wl?rs=dfa1.0&amp;vr=2.0&amp;DB=6538&amp;FindType=Y&amp;SerialNum=2003212625" TargetMode="External"/><Relationship Id="rId160" Type="http://schemas.openxmlformats.org/officeDocument/2006/relationships/hyperlink" Target="http://www.westlaw.com/Find/Default.wl?rs=dfa1.0&amp;vr=2.0&amp;DB=6538&amp;FindType=Y&amp;SerialNum=2003078051" TargetMode="External"/><Relationship Id="rId161" Type="http://schemas.openxmlformats.org/officeDocument/2006/relationships/hyperlink" Target="http://www.westlaw.com/Find/Default.wl?rs=dfa1.0&amp;vr=2.0&amp;DB=506&amp;FindType=Y&amp;SerialNum=2003072065" TargetMode="External"/><Relationship Id="rId162" Type="http://schemas.openxmlformats.org/officeDocument/2006/relationships/hyperlink" Target="http://www.westlaw.com/Find/Default.wl?rs=dfa1.0&amp;vr=2.0&amp;DB=6538&amp;FindType=Y&amp;SerialNum=2003065960" TargetMode="External"/><Relationship Id="rId20" Type="http://schemas.openxmlformats.org/officeDocument/2006/relationships/hyperlink" Target="http://www.westlaw.com/Find/Default.wl?rs=dfa1.0&amp;vr=2.0&amp;DB=6538&amp;FindType=Y&amp;SerialNum=2003624074" TargetMode="External"/><Relationship Id="rId21" Type="http://schemas.openxmlformats.org/officeDocument/2006/relationships/hyperlink" Target="http://www.westlaw.com/Find/Default.wl?rs=dfa1.0&amp;vr=2.0&amp;DB=6538&amp;FindType=Y&amp;SerialNum=2003620926" TargetMode="External"/><Relationship Id="rId22" Type="http://schemas.openxmlformats.org/officeDocument/2006/relationships/hyperlink" Target="http://www.westlaw.com/Find/Default.wl?rs=dfa1.0&amp;vr=2.0&amp;DB=6538&amp;FindType=Y&amp;SerialNum=2003620927" TargetMode="External"/><Relationship Id="rId23" Type="http://schemas.openxmlformats.org/officeDocument/2006/relationships/hyperlink" Target="http://www.westlaw.com/Find/Default.wl?rs=dfa1.0&amp;vr=2.0&amp;DB=6538&amp;FindType=Y&amp;SerialNum=2003694119" TargetMode="External"/><Relationship Id="rId24" Type="http://schemas.openxmlformats.org/officeDocument/2006/relationships/hyperlink" Target="http://www.westlaw.com/Find/Default.wl?rs=dfa1.0&amp;vr=2.0&amp;DB=506&amp;FindType=Y&amp;SerialNum=2003614013" TargetMode="External"/><Relationship Id="rId25" Type="http://schemas.openxmlformats.org/officeDocument/2006/relationships/hyperlink" Target="http://www.westlaw.com/Find/Default.wl?rs=dfa1.0&amp;vr=2.0&amp;DB=6538&amp;FindType=Y&amp;SerialNum=2003611614" TargetMode="External"/><Relationship Id="rId26" Type="http://schemas.openxmlformats.org/officeDocument/2006/relationships/hyperlink" Target="http://www.westlaw.com/Find/Default.wl?rs=dfa1.0&amp;vr=2.0&amp;DB=506&amp;FindType=Y&amp;SerialNum=2003605678" TargetMode="External"/><Relationship Id="rId27" Type="http://schemas.openxmlformats.org/officeDocument/2006/relationships/hyperlink" Target="http://www.westlaw.com/Find/Default.wl?rs=dfa1.0&amp;vr=2.0&amp;DB=6538&amp;FindType=Y&amp;SerialNum=2003603771" TargetMode="External"/><Relationship Id="rId28" Type="http://schemas.openxmlformats.org/officeDocument/2006/relationships/hyperlink" Target="http://www.westlaw.com/Find/Default.wl?rs=dfa1.0&amp;vr=2.0&amp;DB=6538&amp;FindType=Y&amp;SerialNum=2003603773" TargetMode="External"/><Relationship Id="rId29" Type="http://schemas.openxmlformats.org/officeDocument/2006/relationships/hyperlink" Target="http://www.westlaw.com/Find/Default.wl?rs=dfa1.0&amp;vr=2.0&amp;DB=506&amp;FindType=Y&amp;SerialNum=2003589275" TargetMode="External"/><Relationship Id="rId163" Type="http://schemas.openxmlformats.org/officeDocument/2006/relationships/hyperlink" Target="http://www.westlaw.com/Find/Default.wl?rs=dfa1.0&amp;vr=2.0&amp;DB=6538&amp;FindType=Y&amp;SerialNum=2003162028" TargetMode="External"/><Relationship Id="rId164" Type="http://schemas.openxmlformats.org/officeDocument/2006/relationships/hyperlink" Target="http://www.westlaw.com/Find/Default.wl?rs=dfa1.0&amp;vr=2.0&amp;DB=6538&amp;FindType=Y&amp;SerialNum=2002807138" TargetMode="External"/><Relationship Id="rId165" Type="http://schemas.openxmlformats.org/officeDocument/2006/relationships/hyperlink" Target="http://www.westlaw.com/Find/Default.wl?rs=dfa1.0&amp;vr=2.0&amp;DB=6538&amp;FindType=Y&amp;SerialNum=2002811841" TargetMode="External"/><Relationship Id="rId166" Type="http://schemas.openxmlformats.org/officeDocument/2006/relationships/hyperlink" Target="http://www.westlaw.com/Find/Default.wl?rs=dfa1.0&amp;vr=2.0&amp;DB=6538&amp;FindType=Y&amp;SerialNum=2002795804" TargetMode="External"/><Relationship Id="rId167" Type="http://schemas.openxmlformats.org/officeDocument/2006/relationships/hyperlink" Target="http://www.westlaw.com/Find/Default.wl?rs=dfa1.0&amp;vr=2.0&amp;DB=6538&amp;FindType=Y&amp;SerialNum=2002795805" TargetMode="External"/><Relationship Id="rId168" Type="http://schemas.openxmlformats.org/officeDocument/2006/relationships/hyperlink" Target="http://www.westlaw.com/Find/Default.wl?rs=dfa1.0&amp;vr=2.0&amp;DB=6538&amp;FindType=Y&amp;SerialNum=2002796861" TargetMode="External"/><Relationship Id="rId169" Type="http://schemas.openxmlformats.org/officeDocument/2006/relationships/hyperlink" Target="http://www.westlaw.com/Find/Default.wl?rs=dfa1.0&amp;vr=2.0&amp;DB=6538&amp;FindType=Y&amp;SerialNum=2002790970" TargetMode="External"/><Relationship Id="rId200" Type="http://schemas.openxmlformats.org/officeDocument/2006/relationships/hyperlink" Target="http://www.westlaw.com/Find/Default.wl?rs=dfa1.0&amp;vr=2.0&amp;DB=506&amp;FindType=Y&amp;SerialNum=2003503691" TargetMode="External"/><Relationship Id="rId60" Type="http://schemas.openxmlformats.org/officeDocument/2006/relationships/hyperlink" Target="http://www.westlaw.com/Find/Default.wl?rs=dfa1.0&amp;vr=2.0&amp;DB=6538&amp;FindType=Y&amp;SerialNum=2003462206" TargetMode="External"/><Relationship Id="rId61" Type="http://schemas.openxmlformats.org/officeDocument/2006/relationships/hyperlink" Target="http://www.westlaw.com/Find/Default.wl?rs=dfa1.0&amp;vr=2.0&amp;DB=506&amp;FindType=Y&amp;SerialNum=2003434818" TargetMode="External"/><Relationship Id="rId62" Type="http://schemas.openxmlformats.org/officeDocument/2006/relationships/hyperlink" Target="http://www.westlaw.com/Find/Default.wl?rs=dfa1.0&amp;vr=2.0&amp;DB=506&amp;FindType=Y&amp;SerialNum=2003434819" TargetMode="External"/><Relationship Id="rId63" Type="http://schemas.openxmlformats.org/officeDocument/2006/relationships/hyperlink" Target="http://www.westlaw.com/Find/Default.wl?rs=dfa1.0&amp;vr=2.0&amp;DB=6538&amp;FindType=Y&amp;SerialNum=2003430430" TargetMode="External"/><Relationship Id="rId64" Type="http://schemas.openxmlformats.org/officeDocument/2006/relationships/hyperlink" Target="http://www.westlaw.com/Find/Default.wl?rs=dfa1.0&amp;vr=2.0&amp;DB=6538&amp;FindType=Y&amp;SerialNum=2003418956" TargetMode="External"/><Relationship Id="rId65" Type="http://schemas.openxmlformats.org/officeDocument/2006/relationships/hyperlink" Target="http://www.westlaw.com/Find/Default.wl?rs=dfa1.0&amp;vr=2.0&amp;DB=6538&amp;FindType=Y&amp;SerialNum=2003401687" TargetMode="External"/><Relationship Id="rId66" Type="http://schemas.openxmlformats.org/officeDocument/2006/relationships/hyperlink" Target="http://www.westlaw.com/Find/Default.wl?rs=dfa1.0&amp;vr=2.0&amp;DB=6538&amp;FindType=Y&amp;SerialNum=2003400326" TargetMode="External"/><Relationship Id="rId67" Type="http://schemas.openxmlformats.org/officeDocument/2006/relationships/hyperlink" Target="http://www.westlaw.com/Find/Default.wl?rs=dfa1.0&amp;vr=2.0&amp;DB=506&amp;FindType=Y&amp;SerialNum=2003385249" TargetMode="External"/><Relationship Id="rId68" Type="http://schemas.openxmlformats.org/officeDocument/2006/relationships/hyperlink" Target="http://www.westlaw.com/Find/Default.wl?rs=dfa1.0&amp;vr=2.0&amp;DB=506&amp;FindType=Y&amp;SerialNum=2003384997" TargetMode="External"/><Relationship Id="rId69" Type="http://schemas.openxmlformats.org/officeDocument/2006/relationships/hyperlink" Target="http://www.westlaw.com/Find/Default.wl?rs=dfa1.0&amp;vr=2.0&amp;DB=506&amp;FindType=Y&amp;SerialNum=2003377459" TargetMode="External"/><Relationship Id="rId130" Type="http://schemas.openxmlformats.org/officeDocument/2006/relationships/hyperlink" Target="http://www.westlaw.com/Find/Default.wl?rs=dfa1.0&amp;vr=2.0&amp;DB=6538&amp;FindType=Y&amp;SerialNum=2003171108" TargetMode="External"/><Relationship Id="rId131" Type="http://schemas.openxmlformats.org/officeDocument/2006/relationships/hyperlink" Target="http://www.westlaw.com/Find/Default.wl?rs=dfa1.0&amp;vr=2.0&amp;DB=6538&amp;FindType=Y&amp;SerialNum=2003169772" TargetMode="External"/><Relationship Id="rId132" Type="http://schemas.openxmlformats.org/officeDocument/2006/relationships/hyperlink" Target="http://www.westlaw.com/Find/Default.wl?rs=dfa1.0&amp;vr=2.0&amp;DB=6538&amp;FindType=Y&amp;SerialNum=2003212782" TargetMode="External"/><Relationship Id="rId133" Type="http://schemas.openxmlformats.org/officeDocument/2006/relationships/hyperlink" Target="http://www.westlaw.com/Find/Default.wl?rs=dfa1.0&amp;vr=2.0&amp;DB=506&amp;FindType=Y&amp;SerialNum=2003154091" TargetMode="External"/><Relationship Id="rId134" Type="http://schemas.openxmlformats.org/officeDocument/2006/relationships/hyperlink" Target="http://www.westlaw.com/Find/Default.wl?rs=dfa1.0&amp;vr=2.0&amp;DB=6538&amp;FindType=Y&amp;SerialNum=2003154198" TargetMode="External"/><Relationship Id="rId135" Type="http://schemas.openxmlformats.org/officeDocument/2006/relationships/hyperlink" Target="http://www.westlaw.com/Find/Default.wl?rs=dfa1.0&amp;vr=2.0&amp;DB=6538&amp;FindType=Y&amp;SerialNum=2003154199" TargetMode="External"/><Relationship Id="rId136" Type="http://schemas.openxmlformats.org/officeDocument/2006/relationships/hyperlink" Target="http://www.westlaw.com/Find/Default.wl?rs=dfa1.0&amp;vr=2.0&amp;DB=6538&amp;FindType=Y&amp;SerialNum=2003154204" TargetMode="External"/><Relationship Id="rId137" Type="http://schemas.openxmlformats.org/officeDocument/2006/relationships/hyperlink" Target="http://www.westlaw.com/Find/Default.wl?rs=dfa1.0&amp;vr=2.0&amp;DB=6538&amp;FindType=Y&amp;SerialNum=2003212783" TargetMode="External"/><Relationship Id="rId138" Type="http://schemas.openxmlformats.org/officeDocument/2006/relationships/hyperlink" Target="http://www.westlaw.com/Find/Default.wl?rs=dfa1.0&amp;vr=2.0&amp;DB=6538&amp;FindType=Y&amp;SerialNum=2003212784" TargetMode="External"/><Relationship Id="rId139" Type="http://schemas.openxmlformats.org/officeDocument/2006/relationships/hyperlink" Target="http://www.westlaw.com/Find/Default.wl?rs=dfa1.0&amp;vr=2.0&amp;DB=506&amp;FindType=Y&amp;SerialNum=2003162023" TargetMode="External"/><Relationship Id="rId170" Type="http://schemas.openxmlformats.org/officeDocument/2006/relationships/hyperlink" Target="http://www.westlaw.com/Find/Default.wl?rs=dfa1.0&amp;vr=2.0&amp;DB=6538&amp;FindType=Y&amp;SerialNum=2002790971" TargetMode="External"/><Relationship Id="rId171" Type="http://schemas.openxmlformats.org/officeDocument/2006/relationships/hyperlink" Target="http://www.westlaw.com/Find/Default.wl?rs=dfa1.0&amp;vr=2.0&amp;DB=6538&amp;FindType=Y&amp;SerialNum=2002795806" TargetMode="External"/><Relationship Id="rId172" Type="http://schemas.openxmlformats.org/officeDocument/2006/relationships/hyperlink" Target="http://www.westlaw.com/Find/Default.wl?rs=dfa1.0&amp;vr=2.0&amp;DB=506&amp;FindType=Y&amp;SerialNum=2002800761" TargetMode="External"/><Relationship Id="rId30" Type="http://schemas.openxmlformats.org/officeDocument/2006/relationships/hyperlink" Target="http://www.westlaw.com/Find/Default.wl?rs=dfa1.0&amp;vr=2.0&amp;DB=6538&amp;FindType=Y&amp;SerialNum=2003584036" TargetMode="External"/><Relationship Id="rId31" Type="http://schemas.openxmlformats.org/officeDocument/2006/relationships/hyperlink" Target="http://www.westlaw.com/Find/Default.wl?rs=dfa1.0&amp;vr=2.0&amp;DB=6538&amp;FindType=Y&amp;SerialNum=2003583273" TargetMode="External"/><Relationship Id="rId32" Type="http://schemas.openxmlformats.org/officeDocument/2006/relationships/hyperlink" Target="http://www.westlaw.com/Find/Default.wl?rs=dfa1.0&amp;vr=2.0&amp;DB=6538&amp;FindType=Y&amp;SerialNum=2003624102" TargetMode="External"/><Relationship Id="rId33" Type="http://schemas.openxmlformats.org/officeDocument/2006/relationships/hyperlink" Target="http://www.westlaw.com/Find/Default.wl?rs=dfa1.0&amp;vr=2.0&amp;DB=6538&amp;FindType=Y&amp;SerialNum=2003624105" TargetMode="External"/><Relationship Id="rId34" Type="http://schemas.openxmlformats.org/officeDocument/2006/relationships/hyperlink" Target="http://www.westlaw.com/Find/Default.wl?rs=dfa1.0&amp;vr=2.0&amp;DB=6538&amp;FindType=Y&amp;SerialNum=2003580733" TargetMode="External"/><Relationship Id="rId35" Type="http://schemas.openxmlformats.org/officeDocument/2006/relationships/hyperlink" Target="http://www.westlaw.com/Find/Default.wl?rs=dfa1.0&amp;vr=2.0&amp;DB=6538&amp;FindType=Y&amp;SerialNum=2003580736" TargetMode="External"/><Relationship Id="rId36" Type="http://schemas.openxmlformats.org/officeDocument/2006/relationships/hyperlink" Target="http://www.westlaw.com/Find/Default.wl?rs=dfa1.0&amp;vr=2.0&amp;DB=6538&amp;FindType=Y&amp;SerialNum=2003575229" TargetMode="External"/><Relationship Id="rId37" Type="http://schemas.openxmlformats.org/officeDocument/2006/relationships/hyperlink" Target="http://www.westlaw.com/Find/Default.wl?rs=dfa1.0&amp;vr=2.0&amp;DB=6538&amp;FindType=Y&amp;SerialNum=2003568411" TargetMode="External"/><Relationship Id="rId38" Type="http://schemas.openxmlformats.org/officeDocument/2006/relationships/hyperlink" Target="http://www.westlaw.com/Find/Default.wl?rs=dfa1.0&amp;vr=2.0&amp;DB=6538&amp;FindType=Y&amp;SerialNum=2003568412" TargetMode="External"/><Relationship Id="rId39" Type="http://schemas.openxmlformats.org/officeDocument/2006/relationships/hyperlink" Target="http://www.westlaw.com/Find/Default.wl?rs=dfa1.0&amp;vr=2.0&amp;DB=506&amp;FindType=Y&amp;SerialNum=2003567502" TargetMode="External"/><Relationship Id="rId173" Type="http://schemas.openxmlformats.org/officeDocument/2006/relationships/hyperlink" Target="http://www.westlaw.com/Find/Default.wl?rs=dfa1.0&amp;vr=2.0&amp;DB=6538&amp;FindType=Y&amp;SerialNum=2002788434" TargetMode="External"/><Relationship Id="rId174" Type="http://schemas.openxmlformats.org/officeDocument/2006/relationships/hyperlink" Target="http://www.westlaw.com/Find/Default.wl?rs=dfa1.0&amp;vr=2.0&amp;DB=6538&amp;FindType=Y&amp;SerialNum=2002779625" TargetMode="External"/><Relationship Id="rId175" Type="http://schemas.openxmlformats.org/officeDocument/2006/relationships/hyperlink" Target="http://www.westlaw.com/Find/Default.wl?rs=dfa1.0&amp;vr=2.0&amp;DB=6538&amp;FindType=Y&amp;SerialNum=2002779631" TargetMode="External"/><Relationship Id="rId176" Type="http://schemas.openxmlformats.org/officeDocument/2006/relationships/hyperlink" Target="http://www.westlaw.com/Find/Default.wl?rs=dfa1.0&amp;vr=2.0&amp;DB=6538&amp;FindType=Y&amp;SerialNum=2002806921" TargetMode="External"/><Relationship Id="rId177" Type="http://schemas.openxmlformats.org/officeDocument/2006/relationships/hyperlink" Target="http://www.westlaw.com/Find/Default.wl?rs=dfa1.0&amp;vr=2.0&amp;DB=506&amp;FindType=Y&amp;SerialNum=2002767791" TargetMode="External"/><Relationship Id="rId178" Type="http://schemas.openxmlformats.org/officeDocument/2006/relationships/hyperlink" Target="http://www.westlaw.com/Find/Default.wl?rs=dfa1.0&amp;vr=2.0&amp;DB=6538&amp;FindType=Y&amp;SerialNum=2002764799" TargetMode="External"/><Relationship Id="rId179" Type="http://schemas.openxmlformats.org/officeDocument/2006/relationships/hyperlink" Target="http://www.westlaw.com/Find/Default.wl?rs=dfa1.0&amp;vr=2.0&amp;DB=6538&amp;FindType=Y&amp;SerialNum=2002760267" TargetMode="External"/><Relationship Id="rId70" Type="http://schemas.openxmlformats.org/officeDocument/2006/relationships/hyperlink" Target="http://www.westlaw.com/Find/Default.wl?rs=dfa1.0&amp;vr=2.0&amp;DB=6538&amp;FindType=Y&amp;SerialNum=2003379062" TargetMode="External"/><Relationship Id="rId71" Type="http://schemas.openxmlformats.org/officeDocument/2006/relationships/hyperlink" Target="http://www.westlaw.com/Find/Default.wl?rs=dfa1.0&amp;vr=2.0&amp;DB=506&amp;FindType=Y&amp;SerialNum=2003365696" TargetMode="External"/><Relationship Id="rId72" Type="http://schemas.openxmlformats.org/officeDocument/2006/relationships/hyperlink" Target="http://www.westlaw.com/Find/Default.wl?rs=dfa1.0&amp;vr=2.0&amp;DB=6538&amp;FindType=Y&amp;SerialNum=2003365833" TargetMode="External"/><Relationship Id="rId73" Type="http://schemas.openxmlformats.org/officeDocument/2006/relationships/hyperlink" Target="http://www.westlaw.com/Find/Default.wl?rs=dfa1.0&amp;vr=2.0&amp;DB=6538&amp;FindType=Y&amp;SerialNum=2003365834" TargetMode="External"/><Relationship Id="rId74" Type="http://schemas.openxmlformats.org/officeDocument/2006/relationships/hyperlink" Target="http://www.westlaw.com/Find/Default.wl?rs=dfa1.0&amp;vr=2.0&amp;DB=6538&amp;FindType=Y&amp;SerialNum=2003365838" TargetMode="External"/><Relationship Id="rId75" Type="http://schemas.openxmlformats.org/officeDocument/2006/relationships/hyperlink" Target="http://www.westlaw.com/Find/Default.wl?rs=dfa1.0&amp;vr=2.0&amp;DB=6538&amp;FindType=Y&amp;SerialNum=2003348951" TargetMode="External"/><Relationship Id="rId76" Type="http://schemas.openxmlformats.org/officeDocument/2006/relationships/hyperlink" Target="http://www.westlaw.com/Find/Default.wl?rs=dfa1.0&amp;vr=2.0&amp;DB=6538&amp;FindType=Y&amp;SerialNum=2003420885" TargetMode="External"/><Relationship Id="rId77" Type="http://schemas.openxmlformats.org/officeDocument/2006/relationships/hyperlink" Target="http://www.westlaw.com/Find/Default.wl?rs=dfa1.0&amp;vr=2.0&amp;DB=506&amp;FindType=Y&amp;SerialNum=2003340773" TargetMode="External"/><Relationship Id="rId78" Type="http://schemas.openxmlformats.org/officeDocument/2006/relationships/hyperlink" Target="http://www.westlaw.com/Find/Default.wl?rs=dfa1.0&amp;vr=2.0&amp;DB=6538&amp;FindType=Y&amp;SerialNum=2003334688" TargetMode="External"/><Relationship Id="rId79" Type="http://schemas.openxmlformats.org/officeDocument/2006/relationships/hyperlink" Target="http://www.westlaw.com/Find/Default.wl?rs=dfa1.0&amp;vr=2.0&amp;DB=506&amp;FindType=Y&amp;SerialNum=2003322866" TargetMode="External"/><Relationship Id="rId1" Type="http://schemas.openxmlformats.org/officeDocument/2006/relationships/hyperlink" Target="http://www.westlaw.com/Find/Default.wl?rs=dfa1.0&amp;vr=2.0&amp;DB=6538&amp;FindType=Y&amp;SerialNum=2003667509" TargetMode="External"/><Relationship Id="rId2" Type="http://schemas.openxmlformats.org/officeDocument/2006/relationships/hyperlink" Target="http://www.westlaw.com/Find/Default.wl?rs=dfa1.0&amp;vr=2.0&amp;DB=6538&amp;FindType=Y&amp;SerialNum=2003662160" TargetMode="External"/><Relationship Id="rId3" Type="http://schemas.openxmlformats.org/officeDocument/2006/relationships/hyperlink" Target="http://www.westlaw.com/Find/Default.wl?rs=dfa1.0&amp;vr=2.0&amp;DB=6538&amp;FindType=Y&amp;SerialNum=2003662162" TargetMode="External"/><Relationship Id="rId4" Type="http://schemas.openxmlformats.org/officeDocument/2006/relationships/hyperlink" Target="http://www.westlaw.com/Find/Default.wl?rs=dfa1.0&amp;vr=2.0&amp;DB=6538&amp;FindType=Y&amp;SerialNum=2003667505" TargetMode="External"/><Relationship Id="rId100" Type="http://schemas.openxmlformats.org/officeDocument/2006/relationships/hyperlink" Target="http://www.westlaw.com/Find/Default.wl?rs=dfa1.0&amp;vr=2.0&amp;DB=6538&amp;FindType=Y&amp;SerialNum=2003289205" TargetMode="External"/><Relationship Id="rId101" Type="http://schemas.openxmlformats.org/officeDocument/2006/relationships/hyperlink" Target="http://www.westlaw.com/Find/Default.wl?rs=dfa1.0&amp;vr=2.0&amp;DB=506&amp;FindType=Y&amp;SerialNum=2003275081" TargetMode="External"/><Relationship Id="rId102" Type="http://schemas.openxmlformats.org/officeDocument/2006/relationships/hyperlink" Target="http://www.westlaw.com/Find/Default.wl?rs=dfa1.0&amp;vr=2.0&amp;DB=506&amp;FindType=Y&amp;SerialNum=2003269229" TargetMode="External"/><Relationship Id="rId103" Type="http://schemas.openxmlformats.org/officeDocument/2006/relationships/hyperlink" Target="http://www.westlaw.com/Find/Default.wl?rs=dfa1.0&amp;vr=2.0&amp;DB=6538&amp;FindType=Y&amp;SerialNum=2003275152" TargetMode="External"/><Relationship Id="rId104" Type="http://schemas.openxmlformats.org/officeDocument/2006/relationships/hyperlink" Target="http://www.westlaw.com/Find/Default.wl?rs=dfa1.0&amp;vr=2.0&amp;DB=6538&amp;FindType=Y&amp;SerialNum=2003268634" TargetMode="External"/><Relationship Id="rId105" Type="http://schemas.openxmlformats.org/officeDocument/2006/relationships/hyperlink" Target="http://www.westlaw.com/Find/Default.wl?rs=dfa1.0&amp;vr=2.0&amp;DB=6538&amp;FindType=Y&amp;SerialNum=2003305850" TargetMode="External"/><Relationship Id="rId106" Type="http://schemas.openxmlformats.org/officeDocument/2006/relationships/hyperlink" Target="http://www.westlaw.com/Find/Default.wl?rs=dfa1.0&amp;vr=2.0&amp;DB=506&amp;FindType=Y&amp;SerialNum=2003243978" TargetMode="External"/><Relationship Id="rId107" Type="http://schemas.openxmlformats.org/officeDocument/2006/relationships/hyperlink" Target="http://www.westlaw.com/Find/Default.wl?rs=dfa1.0&amp;vr=2.0&amp;DB=6538&amp;FindType=Y&amp;SerialNum=2003239211" TargetMode="External"/><Relationship Id="rId108" Type="http://schemas.openxmlformats.org/officeDocument/2006/relationships/hyperlink" Target="http://www.westlaw.com/Find/Default.wl?rs=dfa1.0&amp;vr=2.0&amp;DB=506&amp;FindType=Y&amp;SerialNum=2003236479" TargetMode="External"/><Relationship Id="rId109" Type="http://schemas.openxmlformats.org/officeDocument/2006/relationships/hyperlink" Target="http://www.westlaw.com/Find/Default.wl?rs=dfa1.0&amp;vr=2.0&amp;DB=506&amp;FindType=Y&amp;SerialNum=2003232084" TargetMode="External"/><Relationship Id="rId5" Type="http://schemas.openxmlformats.org/officeDocument/2006/relationships/hyperlink" Target="http://www.westlaw.com/Find/Default.wl?rs=dfa1.0&amp;vr=2.0&amp;DB=6538&amp;FindType=Y&amp;SerialNum=2003667508" TargetMode="External"/><Relationship Id="rId6" Type="http://schemas.openxmlformats.org/officeDocument/2006/relationships/hyperlink" Target="http://www.westlaw.com/Find/Default.wl?rs=dfa1.0&amp;vr=2.0&amp;DB=6538&amp;FindType=Y&amp;SerialNum=2003679046" TargetMode="External"/><Relationship Id="rId7" Type="http://schemas.openxmlformats.org/officeDocument/2006/relationships/hyperlink" Target="http://www.westlaw.com/Find/Default.wl?rs=dfa1.0&amp;vr=2.0&amp;DB=6538&amp;FindType=Y&amp;SerialNum=2003694396" TargetMode="External"/><Relationship Id="rId8" Type="http://schemas.openxmlformats.org/officeDocument/2006/relationships/hyperlink" Target="http://www.westlaw.com/Find/Default.wl?rs=dfa1.0&amp;vr=2.0&amp;DB=6538&amp;FindType=Y&amp;SerialNum=2003660630" TargetMode="External"/><Relationship Id="rId9" Type="http://schemas.openxmlformats.org/officeDocument/2006/relationships/hyperlink" Target="http://www.westlaw.com/Find/Default.wl?rs=dfa1.0&amp;vr=2.0&amp;DB=6538&amp;FindType=Y&amp;SerialNum=2003660631" TargetMode="External"/><Relationship Id="rId140" Type="http://schemas.openxmlformats.org/officeDocument/2006/relationships/hyperlink" Target="http://www.westlaw.com/Find/Default.wl?rs=dfa1.0&amp;vr=2.0&amp;DB=6538&amp;FindType=Y&amp;SerialNum=2003135198" TargetMode="External"/><Relationship Id="rId141" Type="http://schemas.openxmlformats.org/officeDocument/2006/relationships/hyperlink" Target="http://www.westlaw.com/Find/Default.wl?rs=dfa1.0&amp;vr=2.0&amp;DB=6538&amp;FindType=Y&amp;SerialNum=2003128440" TargetMode="External"/></Relationships>
</file>

<file path=xl/worksheets/_rels/sheet16.xml.rels><?xml version="1.0" encoding="UTF-8" standalone="yes"?>
<Relationships xmlns="http://schemas.openxmlformats.org/package/2006/relationships"><Relationship Id="rId142" Type="http://schemas.openxmlformats.org/officeDocument/2006/relationships/hyperlink" Target="http://www.westlaw.com/Find/Default.wl?rs=dfa1.0&amp;vr=2.0&amp;DB=6538&amp;FindType=Y&amp;SerialNum=2004119394" TargetMode="External"/><Relationship Id="rId143" Type="http://schemas.openxmlformats.org/officeDocument/2006/relationships/hyperlink" Target="http://www.westlaw.com/Find/Default.wl?rs=dfa1.0&amp;vr=2.0&amp;DB=6538&amp;FindType=Y&amp;SerialNum=2004119395" TargetMode="External"/><Relationship Id="rId144" Type="http://schemas.openxmlformats.org/officeDocument/2006/relationships/hyperlink" Target="http://www.westlaw.com/Find/Default.wl?rs=dfa1.0&amp;vr=2.0&amp;DB=6538&amp;FindType=Y&amp;SerialNum=2004119398" TargetMode="External"/><Relationship Id="rId145" Type="http://schemas.openxmlformats.org/officeDocument/2006/relationships/hyperlink" Target="http://www.westlaw.com/Find/Default.wl?rs=dfa1.0&amp;vr=2.0&amp;DB=6538&amp;FindType=Y&amp;SerialNum=2004119399" TargetMode="External"/><Relationship Id="rId146" Type="http://schemas.openxmlformats.org/officeDocument/2006/relationships/hyperlink" Target="http://www.westlaw.com/Find/Default.wl?rs=dfa1.0&amp;vr=2.0&amp;DB=6538&amp;FindType=Y&amp;SerialNum=2004103173" TargetMode="External"/><Relationship Id="rId147" Type="http://schemas.openxmlformats.org/officeDocument/2006/relationships/hyperlink" Target="http://www.westlaw.com/Find/Default.wl?rs=dfa1.0&amp;vr=2.0&amp;DB=6538&amp;FindType=Y&amp;SerialNum=2004102499" TargetMode="External"/><Relationship Id="rId148" Type="http://schemas.openxmlformats.org/officeDocument/2006/relationships/hyperlink" Target="http://www.westlaw.com/Find/Default.wl?rs=dfa1.0&amp;vr=2.0&amp;DB=506&amp;FindType=Y&amp;SerialNum=2004093008" TargetMode="External"/><Relationship Id="rId149" Type="http://schemas.openxmlformats.org/officeDocument/2006/relationships/hyperlink" Target="http://www.westlaw.com/Find/Default.wl?rs=dfa1.0&amp;vr=2.0&amp;DB=6538&amp;FindType=Y&amp;SerialNum=2004102500" TargetMode="External"/><Relationship Id="rId180" Type="http://schemas.openxmlformats.org/officeDocument/2006/relationships/hyperlink" Target="http://www.westlaw.com/Find/Default.wl?rs=dfa1.0&amp;vr=2.0&amp;DB=6538&amp;FindType=Y&amp;SerialNum=2004072294" TargetMode="External"/><Relationship Id="rId181" Type="http://schemas.openxmlformats.org/officeDocument/2006/relationships/hyperlink" Target="http://www.westlaw.com/Find/Default.wl?rs=dfa1.0&amp;vr=2.0&amp;DB=6538&amp;FindType=Y&amp;SerialNum=2003910935" TargetMode="External"/><Relationship Id="rId182" Type="http://schemas.openxmlformats.org/officeDocument/2006/relationships/hyperlink" Target="http://www.westlaw.com/Find/Default.wl?rs=dfa1.0&amp;vr=2.0&amp;DB=6538&amp;FindType=Y&amp;SerialNum=2003910549" TargetMode="External"/><Relationship Id="rId40" Type="http://schemas.openxmlformats.org/officeDocument/2006/relationships/hyperlink" Target="http://www.westlaw.com/Find/Default.wl?rs=dfa1.0&amp;vr=2.0&amp;DB=6538&amp;FindType=Y&amp;SerialNum=2004738425" TargetMode="External"/><Relationship Id="rId41" Type="http://schemas.openxmlformats.org/officeDocument/2006/relationships/hyperlink" Target="http://www.westlaw.com/Find/Default.wl?rs=dfa1.0&amp;vr=2.0&amp;DB=6538&amp;FindType=Y&amp;SerialNum=2004731195" TargetMode="External"/><Relationship Id="rId42" Type="http://schemas.openxmlformats.org/officeDocument/2006/relationships/hyperlink" Target="http://www.westlaw.com/Find/Default.wl?rs=dfa1.0&amp;vr=2.0&amp;DB=6538&amp;FindType=Y&amp;SerialNum=2004731221" TargetMode="External"/><Relationship Id="rId43" Type="http://schemas.openxmlformats.org/officeDocument/2006/relationships/hyperlink" Target="http://www.westlaw.com/Find/Default.wl?rs=dfa1.0&amp;vr=2.0&amp;DB=6538&amp;FindType=Y&amp;SerialNum=2004709290" TargetMode="External"/><Relationship Id="rId44" Type="http://schemas.openxmlformats.org/officeDocument/2006/relationships/hyperlink" Target="http://www.westlaw.com/Find/Default.wl?rs=dfa1.0&amp;vr=2.0&amp;DB=6538&amp;FindType=Y&amp;SerialNum=2004709291" TargetMode="External"/><Relationship Id="rId45" Type="http://schemas.openxmlformats.org/officeDocument/2006/relationships/hyperlink" Target="http://www.westlaw.com/Find/Default.wl?rs=dfa1.0&amp;vr=2.0&amp;DB=6538&amp;FindType=Y&amp;SerialNum=2004709295" TargetMode="External"/><Relationship Id="rId46" Type="http://schemas.openxmlformats.org/officeDocument/2006/relationships/hyperlink" Target="http://www.westlaw.com/Find/Default.wl?rs=dfa1.0&amp;vr=2.0&amp;DB=506&amp;FindType=Y&amp;SerialNum=2004650043" TargetMode="External"/><Relationship Id="rId47" Type="http://schemas.openxmlformats.org/officeDocument/2006/relationships/hyperlink" Target="http://www.westlaw.com/Find/Default.wl?rs=dfa1.0&amp;vr=2.0&amp;DB=6538&amp;FindType=Y&amp;SerialNum=2005478846" TargetMode="External"/><Relationship Id="rId48" Type="http://schemas.openxmlformats.org/officeDocument/2006/relationships/hyperlink" Target="http://www.westlaw.com/Find/Default.wl?rs=dfa1.0&amp;vr=2.0&amp;DB=6538&amp;FindType=Y&amp;SerialNum=2005478847" TargetMode="External"/><Relationship Id="rId49" Type="http://schemas.openxmlformats.org/officeDocument/2006/relationships/hyperlink" Target="http://www.westlaw.com/Find/Default.wl?rs=dfa1.0&amp;vr=2.0&amp;DB=6538&amp;FindType=Y&amp;SerialNum=2004636798" TargetMode="External"/><Relationship Id="rId183" Type="http://schemas.openxmlformats.org/officeDocument/2006/relationships/hyperlink" Target="http://www.westlaw.com/Find/Default.wl?rs=dfa1.0&amp;vr=2.0&amp;DB=6538&amp;FindType=Y&amp;SerialNum=2004072244" TargetMode="External"/><Relationship Id="rId184" Type="http://schemas.openxmlformats.org/officeDocument/2006/relationships/hyperlink" Target="http://www.westlaw.com/Find/Default.wl?rs=dfa1.0&amp;vr=2.0&amp;DB=6538&amp;FindType=Y&amp;SerialNum=2003903899" TargetMode="External"/><Relationship Id="rId185" Type="http://schemas.openxmlformats.org/officeDocument/2006/relationships/hyperlink" Target="http://www.westlaw.com/Find/Default.wl?rs=dfa1.0&amp;vr=2.0&amp;DB=506&amp;FindType=Y&amp;SerialNum=2003895310" TargetMode="External"/><Relationship Id="rId186" Type="http://schemas.openxmlformats.org/officeDocument/2006/relationships/hyperlink" Target="http://www.westlaw.com/Find/Default.wl?rs=dfa1.0&amp;vr=2.0&amp;DB=6538&amp;FindType=Y&amp;SerialNum=2003896519" TargetMode="External"/><Relationship Id="rId187" Type="http://schemas.openxmlformats.org/officeDocument/2006/relationships/hyperlink" Target="http://www.westlaw.com/Find/Default.wl?rs=dfa1.0&amp;vr=2.0&amp;DB=6538&amp;FindType=Y&amp;SerialNum=2004064167" TargetMode="External"/><Relationship Id="rId188" Type="http://schemas.openxmlformats.org/officeDocument/2006/relationships/hyperlink" Target="http://www.westlaw.com/Find/Default.wl?rs=dfa1.0&amp;vr=2.0&amp;DB=6538&amp;FindType=Y&amp;SerialNum=2003888709" TargetMode="External"/><Relationship Id="rId189" Type="http://schemas.openxmlformats.org/officeDocument/2006/relationships/hyperlink" Target="http://www.westlaw.com/Find/Default.wl?rs=dfa1.0&amp;vr=2.0&amp;DB=6538&amp;FindType=Y&amp;SerialNum=2004079016" TargetMode="External"/><Relationship Id="rId220" Type="http://schemas.openxmlformats.org/officeDocument/2006/relationships/hyperlink" Target="http://www.westlaw.com/Find/Default.wl?rs=dfa1.0&amp;vr=2.0&amp;DB=6538&amp;FindType=Y&amp;SerialNum=2003764266" TargetMode="External"/><Relationship Id="rId221" Type="http://schemas.openxmlformats.org/officeDocument/2006/relationships/hyperlink" Target="http://www.westlaw.com/Find/Default.wl?rs=dfa1.0&amp;vr=2.0&amp;DB=6538&amp;FindType=Y&amp;SerialNum=2003709657" TargetMode="External"/><Relationship Id="rId222" Type="http://schemas.openxmlformats.org/officeDocument/2006/relationships/hyperlink" Target="http://www.westlaw.com/Find/Default.wl?rs=dfa1.0&amp;vr=2.0&amp;DB=6538&amp;FindType=Y&amp;SerialNum=2003709658" TargetMode="External"/><Relationship Id="rId223" Type="http://schemas.openxmlformats.org/officeDocument/2006/relationships/hyperlink" Target="http://www.westlaw.com/Find/Default.wl?rs=dfa1.0&amp;vr=2.0&amp;DB=6538&amp;FindType=Y&amp;SerialNum=2003708848" TargetMode="External"/><Relationship Id="rId80" Type="http://schemas.openxmlformats.org/officeDocument/2006/relationships/hyperlink" Target="http://www.westlaw.com/Find/Default.wl?rs=dfa1.0&amp;vr=2.0&amp;DB=6538&amp;FindType=Y&amp;SerialNum=2004369445" TargetMode="External"/><Relationship Id="rId81" Type="http://schemas.openxmlformats.org/officeDocument/2006/relationships/hyperlink" Target="http://www.westlaw.com/Find/Default.wl?rs=dfa1.0&amp;vr=2.0&amp;DB=6538&amp;FindType=Y&amp;SerialNum=2004369446" TargetMode="External"/><Relationship Id="rId82" Type="http://schemas.openxmlformats.org/officeDocument/2006/relationships/hyperlink" Target="http://www.westlaw.com/Find/Default.wl?rs=dfa1.0&amp;vr=2.0&amp;DB=6538&amp;FindType=Y&amp;SerialNum=2004369450" TargetMode="External"/><Relationship Id="rId83" Type="http://schemas.openxmlformats.org/officeDocument/2006/relationships/hyperlink" Target="http://www.westlaw.com/Find/Default.wl?rs=dfa1.0&amp;vr=2.0&amp;DB=6538&amp;FindType=Y&amp;SerialNum=2004364737" TargetMode="External"/><Relationship Id="rId84" Type="http://schemas.openxmlformats.org/officeDocument/2006/relationships/hyperlink" Target="http://www.westlaw.com/Find/Default.wl?rs=dfa1.0&amp;vr=2.0&amp;DB=6538&amp;FindType=Y&amp;SerialNum=2004367135" TargetMode="External"/><Relationship Id="rId85" Type="http://schemas.openxmlformats.org/officeDocument/2006/relationships/hyperlink" Target="http://www.westlaw.com/Find/Default.wl?rs=dfa1.0&amp;vr=2.0&amp;DB=6538&amp;FindType=Y&amp;SerialNum=2004462975" TargetMode="External"/><Relationship Id="rId86" Type="http://schemas.openxmlformats.org/officeDocument/2006/relationships/hyperlink" Target="http://www.westlaw.com/Find/Default.wl?rs=dfa1.0&amp;vr=2.0&amp;DB=6538&amp;FindType=Y&amp;SerialNum=2004364739" TargetMode="External"/><Relationship Id="rId87" Type="http://schemas.openxmlformats.org/officeDocument/2006/relationships/hyperlink" Target="http://www.westlaw.com/Find/Default.wl?rs=dfa1.0&amp;vr=2.0&amp;DB=6538&amp;FindType=Y&amp;SerialNum=2004341814" TargetMode="External"/><Relationship Id="rId88" Type="http://schemas.openxmlformats.org/officeDocument/2006/relationships/hyperlink" Target="http://www.westlaw.com/Find/Default.wl?rs=dfa1.0&amp;vr=2.0&amp;DB=6538&amp;FindType=Y&amp;SerialNum=2004344477" TargetMode="External"/><Relationship Id="rId89" Type="http://schemas.openxmlformats.org/officeDocument/2006/relationships/hyperlink" Target="http://www.westlaw.com/Find/Default.wl?rs=dfa1.0&amp;vr=2.0&amp;DB=6538&amp;FindType=Y&amp;SerialNum=2004340588" TargetMode="External"/><Relationship Id="rId224" Type="http://schemas.openxmlformats.org/officeDocument/2006/relationships/hyperlink" Target="http://www.westlaw.com/Find/Default.wl?rs=dfa1.0&amp;vr=2.0&amp;DB=6538&amp;FindType=Y&amp;SerialNum=2003764267" TargetMode="External"/><Relationship Id="rId225" Type="http://schemas.openxmlformats.org/officeDocument/2006/relationships/hyperlink" Target="http://www.westlaw.com/Find/Default.wl?rs=dfa1.0&amp;vr=2.0&amp;DB=6538&amp;FindType=Y&amp;SerialNum=2003703045" TargetMode="External"/><Relationship Id="rId226" Type="http://schemas.openxmlformats.org/officeDocument/2006/relationships/hyperlink" Target="http://www.westlaw.com/Find/Default.wl?rs=dfa1.0&amp;vr=2.0&amp;DB=6538&amp;FindType=Y&amp;SerialNum=2003693650" TargetMode="External"/><Relationship Id="rId227" Type="http://schemas.openxmlformats.org/officeDocument/2006/relationships/hyperlink" Target="http://www.westlaw.com/Find/Default.wl?rs=dfa1.0&amp;vr=2.0&amp;DB=6538&amp;FindType=Y&amp;SerialNum=2003680871" TargetMode="External"/><Relationship Id="rId228" Type="http://schemas.openxmlformats.org/officeDocument/2006/relationships/hyperlink" Target="http://www.westlaw.com/Find/Default.wl?rs=dfa1.0&amp;vr=2.0&amp;DB=506&amp;FindType=Y&amp;SerialNum=2004583466" TargetMode="External"/><Relationship Id="rId229" Type="http://schemas.openxmlformats.org/officeDocument/2006/relationships/hyperlink" Target="http://www.westlaw.com/Find/Default.wl?rs=dfa1.0&amp;vr=2.0&amp;DB=4637&amp;FindType=Y&amp;SerialNum=2004949683" TargetMode="External"/><Relationship Id="rId110" Type="http://schemas.openxmlformats.org/officeDocument/2006/relationships/hyperlink" Target="http://www.westlaw.com/Find/Default.wl?rs=dfa1.0&amp;vr=2.0&amp;DB=6538&amp;FindType=Y&amp;SerialNum=2004308151" TargetMode="External"/><Relationship Id="rId111" Type="http://schemas.openxmlformats.org/officeDocument/2006/relationships/hyperlink" Target="http://www.westlaw.com/Find/Default.wl?rs=dfa1.0&amp;vr=2.0&amp;DB=506&amp;FindType=Y&amp;SerialNum=2004294213" TargetMode="External"/><Relationship Id="rId112" Type="http://schemas.openxmlformats.org/officeDocument/2006/relationships/hyperlink" Target="http://www.westlaw.com/Find/Default.wl?rs=dfa1.0&amp;vr=2.0&amp;DB=6538&amp;FindType=Y&amp;SerialNum=2004296165" TargetMode="External"/><Relationship Id="rId113" Type="http://schemas.openxmlformats.org/officeDocument/2006/relationships/hyperlink" Target="http://www.westlaw.com/Find/Default.wl?rs=dfa1.0&amp;vr=2.0&amp;DB=6538&amp;FindType=Y&amp;SerialNum=2004248509" TargetMode="External"/><Relationship Id="rId114" Type="http://schemas.openxmlformats.org/officeDocument/2006/relationships/hyperlink" Target="http://www.westlaw.com/Find/Default.wl?rs=dfa1.0&amp;vr=2.0&amp;DB=506&amp;FindType=Y&amp;SerialNum=2004244847" TargetMode="External"/><Relationship Id="rId115" Type="http://schemas.openxmlformats.org/officeDocument/2006/relationships/hyperlink" Target="http://www.westlaw.com/Find/Default.wl?rs=dfa1.0&amp;vr=2.0&amp;DB=6538&amp;FindType=Y&amp;SerialNum=2004248511" TargetMode="External"/><Relationship Id="rId116" Type="http://schemas.openxmlformats.org/officeDocument/2006/relationships/hyperlink" Target="http://www.westlaw.com/Find/Default.wl?rs=dfa1.0&amp;vr=2.0&amp;DB=6538&amp;FindType=Y&amp;SerialNum=2004248512" TargetMode="External"/><Relationship Id="rId117" Type="http://schemas.openxmlformats.org/officeDocument/2006/relationships/hyperlink" Target="http://www.westlaw.com/Find/Default.wl?rs=dfa1.0&amp;vr=2.0&amp;DB=506&amp;FindType=Y&amp;SerialNum=2004238857" TargetMode="External"/><Relationship Id="rId118" Type="http://schemas.openxmlformats.org/officeDocument/2006/relationships/hyperlink" Target="http://www.westlaw.com/Find/Default.wl?rs=dfa1.0&amp;vr=2.0&amp;DB=6538&amp;FindType=Y&amp;SerialNum=2004242092" TargetMode="External"/><Relationship Id="rId119" Type="http://schemas.openxmlformats.org/officeDocument/2006/relationships/hyperlink" Target="http://www.westlaw.com/Find/Default.wl?rs=dfa1.0&amp;vr=2.0&amp;DB=6538&amp;FindType=Y&amp;SerialNum=2004242093" TargetMode="External"/><Relationship Id="rId150" Type="http://schemas.openxmlformats.org/officeDocument/2006/relationships/hyperlink" Target="http://www.westlaw.com/Find/Default.wl?rs=dfa1.0&amp;vr=2.0&amp;DB=506&amp;FindType=Y&amp;SerialNum=2004080906" TargetMode="External"/><Relationship Id="rId151" Type="http://schemas.openxmlformats.org/officeDocument/2006/relationships/hyperlink" Target="http://www.westlaw.com/Find/Default.wl?rs=dfa1.0&amp;vr=2.0&amp;DB=6538&amp;FindType=Y&amp;SerialNum=2004080911" TargetMode="External"/><Relationship Id="rId152" Type="http://schemas.openxmlformats.org/officeDocument/2006/relationships/hyperlink" Target="http://www.westlaw.com/Find/Default.wl?rs=dfa1.0&amp;vr=2.0&amp;DB=6538&amp;FindType=Y&amp;SerialNum=2004080395" TargetMode="External"/><Relationship Id="rId10" Type="http://schemas.openxmlformats.org/officeDocument/2006/relationships/hyperlink" Target="http://www.westlaw.com/Find/Default.wl?rs=dfa1.0&amp;vr=2.0&amp;DB=6538&amp;FindType=Y&amp;SerialNum=2005214485" TargetMode="External"/><Relationship Id="rId11" Type="http://schemas.openxmlformats.org/officeDocument/2006/relationships/hyperlink" Target="http://www.westlaw.com/Find/Default.wl?rs=dfa1.0&amp;vr=2.0&amp;DB=6538&amp;FindType=Y&amp;SerialNum=2005214487" TargetMode="External"/><Relationship Id="rId12" Type="http://schemas.openxmlformats.org/officeDocument/2006/relationships/hyperlink" Target="http://www.westlaw.com/Find/Default.wl?rs=dfa1.0&amp;vr=2.0&amp;DB=6538&amp;FindType=Y&amp;SerialNum=2005214490" TargetMode="External"/><Relationship Id="rId13" Type="http://schemas.openxmlformats.org/officeDocument/2006/relationships/hyperlink" Target="http://www.westlaw.com/Find/Default.wl?rs=dfa1.0&amp;vr=2.0&amp;DB=6538&amp;FindType=Y&amp;SerialNum=2005214483" TargetMode="External"/><Relationship Id="rId14" Type="http://schemas.openxmlformats.org/officeDocument/2006/relationships/hyperlink" Target="http://www.westlaw.com/Find/Default.wl?rs=dfa1.0&amp;vr=2.0&amp;DB=506&amp;FindType=Y&amp;SerialNum=2005139857" TargetMode="External"/><Relationship Id="rId15" Type="http://schemas.openxmlformats.org/officeDocument/2006/relationships/hyperlink" Target="http://www.westlaw.com/Find/Default.wl?rs=dfa1.0&amp;vr=2.0&amp;DB=6538&amp;FindType=Y&amp;SerialNum=2005213185" TargetMode="External"/><Relationship Id="rId16" Type="http://schemas.openxmlformats.org/officeDocument/2006/relationships/hyperlink" Target="http://www.westlaw.com/Find/Default.wl?rs=dfa1.0&amp;vr=2.0&amp;DB=6538&amp;FindType=Y&amp;SerialNum=2005213186" TargetMode="External"/><Relationship Id="rId17" Type="http://schemas.openxmlformats.org/officeDocument/2006/relationships/hyperlink" Target="http://www.westlaw.com/Find/Default.wl?rs=dfa1.0&amp;vr=2.0&amp;DB=6538&amp;FindType=Y&amp;SerialNum=2005213187" TargetMode="External"/><Relationship Id="rId18" Type="http://schemas.openxmlformats.org/officeDocument/2006/relationships/hyperlink" Target="http://www.westlaw.com/Find/Default.wl?rs=dfa1.0&amp;vr=2.0&amp;DB=506&amp;FindType=Y&amp;SerialNum=2005138357" TargetMode="External"/><Relationship Id="rId19" Type="http://schemas.openxmlformats.org/officeDocument/2006/relationships/hyperlink" Target="http://www.westlaw.com/Find/Default.wl?rs=dfa1.0&amp;vr=2.0&amp;DB=6538&amp;FindType=Y&amp;SerialNum=2005170487" TargetMode="External"/><Relationship Id="rId153" Type="http://schemas.openxmlformats.org/officeDocument/2006/relationships/hyperlink" Target="http://www.westlaw.com/Find/Default.wl?rs=dfa1.0&amp;vr=2.0&amp;DB=6538&amp;FindType=Y&amp;SerialNum=2004117661" TargetMode="External"/><Relationship Id="rId154" Type="http://schemas.openxmlformats.org/officeDocument/2006/relationships/hyperlink" Target="http://www.westlaw.com/Find/Default.wl?rs=dfa1.0&amp;vr=2.0&amp;DB=6538&amp;FindType=Y&amp;SerialNum=2004151075" TargetMode="External"/><Relationship Id="rId155" Type="http://schemas.openxmlformats.org/officeDocument/2006/relationships/hyperlink" Target="http://www.westlaw.com/Find/Default.wl?rs=dfa1.0&amp;vr=2.0&amp;DB=506&amp;FindType=Y&amp;SerialNum=2004066343" TargetMode="External"/><Relationship Id="rId156" Type="http://schemas.openxmlformats.org/officeDocument/2006/relationships/hyperlink" Target="http://www.westlaw.com/Find/Default.wl?rs=dfa1.0&amp;vr=2.0&amp;DB=6538&amp;FindType=Y&amp;SerialNum=2004057440" TargetMode="External"/><Relationship Id="rId157" Type="http://schemas.openxmlformats.org/officeDocument/2006/relationships/hyperlink" Target="http://www.westlaw.com/Find/Default.wl?rs=dfa1.0&amp;vr=2.0&amp;DB=6538&amp;FindType=Y&amp;SerialNum=2004052364" TargetMode="External"/><Relationship Id="rId158" Type="http://schemas.openxmlformats.org/officeDocument/2006/relationships/hyperlink" Target="http://www.westlaw.com/Find/Default.wl?rs=dfa1.0&amp;vr=2.0&amp;DB=6538&amp;FindType=Y&amp;SerialNum=2004058958" TargetMode="External"/><Relationship Id="rId159" Type="http://schemas.openxmlformats.org/officeDocument/2006/relationships/hyperlink" Target="http://www.westlaw.com/Find/Default.wl?rs=dfa1.0&amp;vr=2.0&amp;DB=6538&amp;FindType=Y&amp;SerialNum=2004058004" TargetMode="External"/><Relationship Id="rId190" Type="http://schemas.openxmlformats.org/officeDocument/2006/relationships/hyperlink" Target="http://www.westlaw.com/Find/Default.wl?rs=dfa1.0&amp;vr=2.0&amp;DB=506&amp;FindType=Y&amp;SerialNum=2003879813" TargetMode="External"/><Relationship Id="rId191" Type="http://schemas.openxmlformats.org/officeDocument/2006/relationships/hyperlink" Target="http://www.westlaw.com/Find/Default.wl?rs=dfa1.0&amp;vr=2.0&amp;DB=6538&amp;FindType=Y&amp;SerialNum=2003886041" TargetMode="External"/><Relationship Id="rId192" Type="http://schemas.openxmlformats.org/officeDocument/2006/relationships/hyperlink" Target="http://www.westlaw.com/Find/Default.wl?rs=dfa1.0&amp;vr=2.0&amp;DB=6538&amp;FindType=Y&amp;SerialNum=2003886040" TargetMode="External"/><Relationship Id="rId50" Type="http://schemas.openxmlformats.org/officeDocument/2006/relationships/hyperlink" Target="http://www.westlaw.com/Find/Default.wl?rs=dfa1.0&amp;vr=2.0&amp;DB=6538&amp;FindType=Y&amp;SerialNum=2004632449" TargetMode="External"/><Relationship Id="rId51" Type="http://schemas.openxmlformats.org/officeDocument/2006/relationships/hyperlink" Target="http://www.westlaw.com/Find/Default.wl?rs=dfa1.0&amp;vr=2.0&amp;DB=506&amp;FindType=Y&amp;SerialNum=2004630234" TargetMode="External"/><Relationship Id="rId52" Type="http://schemas.openxmlformats.org/officeDocument/2006/relationships/hyperlink" Target="http://www.westlaw.com/Find/Default.wl?rs=dfa1.0&amp;vr=2.0&amp;DB=506&amp;FindType=Y&amp;SerialNum=2004621419" TargetMode="External"/><Relationship Id="rId53" Type="http://schemas.openxmlformats.org/officeDocument/2006/relationships/hyperlink" Target="http://www.westlaw.com/Find/Default.wl?rs=dfa1.0&amp;vr=2.0&amp;DB=506&amp;FindType=Y&amp;SerialNum=2004615997" TargetMode="External"/><Relationship Id="rId54" Type="http://schemas.openxmlformats.org/officeDocument/2006/relationships/hyperlink" Target="http://www.westlaw.com/Find/Default.wl?rs=dfa1.0&amp;vr=2.0&amp;DB=6538&amp;FindType=Y&amp;SerialNum=2004616230" TargetMode="External"/><Relationship Id="rId55" Type="http://schemas.openxmlformats.org/officeDocument/2006/relationships/hyperlink" Target="http://www.westlaw.com/Find/Default.wl?rs=dfa1.0&amp;vr=2.0&amp;DB=506&amp;FindType=Y&amp;SerialNum=2004611478" TargetMode="External"/><Relationship Id="rId56" Type="http://schemas.openxmlformats.org/officeDocument/2006/relationships/hyperlink" Target="http://www.westlaw.com/Find/Default.wl?rs=dfa1.0&amp;vr=2.0&amp;DB=506&amp;FindType=Y&amp;SerialNum=2004607807" TargetMode="External"/><Relationship Id="rId57" Type="http://schemas.openxmlformats.org/officeDocument/2006/relationships/hyperlink" Target="http://www.westlaw.com/Find/Default.wl?rs=dfa1.0&amp;vr=2.0&amp;DB=506&amp;FindType=Y&amp;SerialNum=2004599913" TargetMode="External"/><Relationship Id="rId58" Type="http://schemas.openxmlformats.org/officeDocument/2006/relationships/hyperlink" Target="http://www.westlaw.com/Find/Default.wl?rs=dfa1.0&amp;vr=2.0&amp;DB=506&amp;FindType=Y&amp;SerialNum=2004591021" TargetMode="External"/><Relationship Id="rId59" Type="http://schemas.openxmlformats.org/officeDocument/2006/relationships/hyperlink" Target="http://www.westlaw.com/Find/Default.wl?rs=dfa1.0&amp;vr=2.0&amp;DB=506&amp;FindType=Y&amp;SerialNum=2004583354" TargetMode="External"/><Relationship Id="rId193" Type="http://schemas.openxmlformats.org/officeDocument/2006/relationships/hyperlink" Target="http://www.westlaw.com/Find/Default.wl?rs=dfa1.0&amp;vr=2.0&amp;DB=506&amp;FindType=Y&amp;SerialNum=2003860528" TargetMode="External"/><Relationship Id="rId194" Type="http://schemas.openxmlformats.org/officeDocument/2006/relationships/hyperlink" Target="http://www.westlaw.com/Find/Default.wl?rs=dfa1.0&amp;vr=2.0&amp;DB=6538&amp;FindType=Y&amp;SerialNum=2003860572" TargetMode="External"/><Relationship Id="rId195" Type="http://schemas.openxmlformats.org/officeDocument/2006/relationships/hyperlink" Target="http://www.westlaw.com/Find/Default.wl?rs=dfa1.0&amp;vr=2.0&amp;DB=506&amp;FindType=Y&amp;SerialNum=2003860532" TargetMode="External"/><Relationship Id="rId196" Type="http://schemas.openxmlformats.org/officeDocument/2006/relationships/hyperlink" Target="http://www.westlaw.com/Find/Default.wl?rs=dfa1.0&amp;vr=2.0&amp;DB=506&amp;FindType=Y&amp;SerialNum=2003836652" TargetMode="External"/><Relationship Id="rId197" Type="http://schemas.openxmlformats.org/officeDocument/2006/relationships/hyperlink" Target="http://www.westlaw.com/Find/Default.wl?rs=dfa1.0&amp;vr=2.0&amp;DB=506&amp;FindType=Y&amp;SerialNum=2003836656" TargetMode="External"/><Relationship Id="rId198" Type="http://schemas.openxmlformats.org/officeDocument/2006/relationships/hyperlink" Target="http://www.westlaw.com/Find/Default.wl?rs=dfa1.0&amp;vr=2.0&amp;DB=6538&amp;FindType=Y&amp;SerialNum=2003846740" TargetMode="External"/><Relationship Id="rId199" Type="http://schemas.openxmlformats.org/officeDocument/2006/relationships/hyperlink" Target="http://www.westlaw.com/Find/Default.wl?rs=dfa1.0&amp;vr=2.0&amp;DB=506&amp;FindType=Y&amp;SerialNum=2003828024" TargetMode="External"/><Relationship Id="rId230" Type="http://schemas.openxmlformats.org/officeDocument/2006/relationships/hyperlink" Target="http://www.westlaw.com/Find/Default.wl?rs=dfa1.0&amp;vr=2.0&amp;DB=4637&amp;FindType=Y&amp;SerialNum=2004722025" TargetMode="External"/><Relationship Id="rId231" Type="http://schemas.openxmlformats.org/officeDocument/2006/relationships/hyperlink" Target="http://www.westlaw.com/Find/Default.wl?rs=dfa1.0&amp;vr=2.0&amp;FindType=Y&amp;SerialNum=2004238842" TargetMode="External"/><Relationship Id="rId232" Type="http://schemas.openxmlformats.org/officeDocument/2006/relationships/hyperlink" Target="http://www.westlaw.com/Find/Default.wl?rs=dfa1.0&amp;vr=2.0&amp;DB=164&amp;FindType=Y&amp;SerialNum=2004266600" TargetMode="External"/><Relationship Id="rId233" Type="http://schemas.openxmlformats.org/officeDocument/2006/relationships/hyperlink" Target="http://www.westlaw.com/Find/Default.wl?rs=dfa1.0&amp;vr=2.0&amp;FindType=Y&amp;SerialNum=2004365933" TargetMode="External"/><Relationship Id="rId90" Type="http://schemas.openxmlformats.org/officeDocument/2006/relationships/hyperlink" Target="http://www.westlaw.com/Find/Default.wl?rs=dfa1.0&amp;vr=2.0&amp;DB=6538&amp;FindType=Y&amp;SerialNum=2004341597" TargetMode="External"/><Relationship Id="rId91" Type="http://schemas.openxmlformats.org/officeDocument/2006/relationships/hyperlink" Target="http://www.westlaw.com/Find/Default.wl?rs=dfa1.0&amp;vr=2.0&amp;DB=6538&amp;FindType=Y&amp;SerialNum=2004341598" TargetMode="External"/><Relationship Id="rId92" Type="http://schemas.openxmlformats.org/officeDocument/2006/relationships/hyperlink" Target="http://www.westlaw.com/Find/Default.wl?rs=dfa1.0&amp;vr=2.0&amp;DB=6538&amp;FindType=Y&amp;SerialNum=2004340590" TargetMode="External"/><Relationship Id="rId93" Type="http://schemas.openxmlformats.org/officeDocument/2006/relationships/hyperlink" Target="http://www.westlaw.com/Find/Default.wl?rs=dfa1.0&amp;vr=2.0&amp;DB=6538&amp;FindType=Y&amp;SerialNum=2004332335" TargetMode="External"/><Relationship Id="rId94" Type="http://schemas.openxmlformats.org/officeDocument/2006/relationships/hyperlink" Target="http://www.westlaw.com/Find/Default.wl?rs=dfa1.0&amp;vr=2.0&amp;DB=6538&amp;FindType=Y&amp;SerialNum=2004332336" TargetMode="External"/><Relationship Id="rId95" Type="http://schemas.openxmlformats.org/officeDocument/2006/relationships/hyperlink" Target="http://www.westlaw.com/Find/Default.wl?rs=dfa1.0&amp;vr=2.0&amp;DB=6538&amp;FindType=Y&amp;SerialNum=2004332342" TargetMode="External"/><Relationship Id="rId96" Type="http://schemas.openxmlformats.org/officeDocument/2006/relationships/hyperlink" Target="http://www.westlaw.com/Find/Default.wl?rs=dfa1.0&amp;vr=2.0&amp;DB=6538&amp;FindType=Y&amp;SerialNum=2004327334" TargetMode="External"/><Relationship Id="rId97" Type="http://schemas.openxmlformats.org/officeDocument/2006/relationships/hyperlink" Target="http://www.westlaw.com/Find/Default.wl?rs=dfa1.0&amp;vr=2.0&amp;DB=6538&amp;FindType=Y&amp;SerialNum=2004327338" TargetMode="External"/><Relationship Id="rId98" Type="http://schemas.openxmlformats.org/officeDocument/2006/relationships/hyperlink" Target="http://www.westlaw.com/Find/Default.wl?rs=dfa1.0&amp;vr=2.0&amp;DB=506&amp;FindType=Y&amp;SerialNum=2004330357" TargetMode="External"/><Relationship Id="rId99" Type="http://schemas.openxmlformats.org/officeDocument/2006/relationships/hyperlink" Target="http://www.westlaw.com/Find/Default.wl?rs=dfa1.0&amp;vr=2.0&amp;DB=6538&amp;FindType=Y&amp;SerialNum=2004332350" TargetMode="External"/><Relationship Id="rId234" Type="http://schemas.openxmlformats.org/officeDocument/2006/relationships/hyperlink" Target="http://www.westlaw.com/Find/Default.wl?rs=dfa1.0&amp;vr=2.0&amp;DB=4637&amp;FindType=Y&amp;SerialNum=2003760242" TargetMode="External"/><Relationship Id="rId120" Type="http://schemas.openxmlformats.org/officeDocument/2006/relationships/hyperlink" Target="http://www.westlaw.com/Find/Default.wl?rs=dfa1.0&amp;vr=2.0&amp;DB=6538&amp;FindType=Y&amp;SerialNum=2004228981" TargetMode="External"/><Relationship Id="rId121" Type="http://schemas.openxmlformats.org/officeDocument/2006/relationships/hyperlink" Target="http://www.westlaw.com/Find/Default.wl?rs=dfa1.0&amp;vr=2.0&amp;DB=506&amp;FindType=Y&amp;SerialNum=2004229305" TargetMode="External"/><Relationship Id="rId122" Type="http://schemas.openxmlformats.org/officeDocument/2006/relationships/hyperlink" Target="http://www.westlaw.com/Find/Default.wl?rs=dfa1.0&amp;vr=2.0&amp;DB=6538&amp;FindType=Y&amp;SerialNum=2004223941" TargetMode="External"/><Relationship Id="rId123" Type="http://schemas.openxmlformats.org/officeDocument/2006/relationships/hyperlink" Target="http://www.westlaw.com/Find/Default.wl?rs=dfa1.0&amp;vr=2.0&amp;DB=506&amp;FindType=Y&amp;SerialNum=2004211903" TargetMode="External"/><Relationship Id="rId124" Type="http://schemas.openxmlformats.org/officeDocument/2006/relationships/hyperlink" Target="http://www.westlaw.com/Find/Default.wl?rs=dfa1.0&amp;vr=2.0&amp;DB=506&amp;FindType=Y&amp;SerialNum=2004220367" TargetMode="External"/><Relationship Id="rId125" Type="http://schemas.openxmlformats.org/officeDocument/2006/relationships/hyperlink" Target="http://www.westlaw.com/Find/Default.wl?rs=dfa1.0&amp;vr=2.0&amp;DB=6538&amp;FindType=Y&amp;SerialNum=2004202757" TargetMode="External"/><Relationship Id="rId126" Type="http://schemas.openxmlformats.org/officeDocument/2006/relationships/hyperlink" Target="http://www.westlaw.com/Find/Default.wl?rs=dfa1.0&amp;vr=2.0&amp;DB=6538&amp;FindType=Y&amp;SerialNum=2004202753" TargetMode="External"/><Relationship Id="rId127" Type="http://schemas.openxmlformats.org/officeDocument/2006/relationships/hyperlink" Target="http://www.westlaw.com/Find/Default.wl?rs=dfa1.0&amp;vr=2.0&amp;DB=506&amp;FindType=Y&amp;SerialNum=2004179931" TargetMode="External"/><Relationship Id="rId128" Type="http://schemas.openxmlformats.org/officeDocument/2006/relationships/hyperlink" Target="http://www.westlaw.com/Find/Default.wl?rs=dfa1.0&amp;vr=2.0&amp;DB=6538&amp;FindType=Y&amp;SerialNum=2004189892" TargetMode="External"/><Relationship Id="rId129" Type="http://schemas.openxmlformats.org/officeDocument/2006/relationships/hyperlink" Target="http://www.westlaw.com/Find/Default.wl?rs=dfa1.0&amp;vr=2.0&amp;DB=6538&amp;FindType=Y&amp;SerialNum=2004172239" TargetMode="External"/><Relationship Id="rId160" Type="http://schemas.openxmlformats.org/officeDocument/2006/relationships/hyperlink" Target="http://www.westlaw.com/Find/Default.wl?rs=dfa1.0&amp;vr=2.0&amp;DB=6538&amp;FindType=Y&amp;SerialNum=2004058957" TargetMode="External"/><Relationship Id="rId161" Type="http://schemas.openxmlformats.org/officeDocument/2006/relationships/hyperlink" Target="http://www.westlaw.com/Find/Default.wl?rs=dfa1.0&amp;vr=2.0&amp;DB=6538&amp;FindType=Y&amp;SerialNum=2004042901" TargetMode="External"/><Relationship Id="rId162" Type="http://schemas.openxmlformats.org/officeDocument/2006/relationships/hyperlink" Target="http://www.westlaw.com/Find/Default.wl?rs=dfa1.0&amp;vr=2.0&amp;DB=6538&amp;FindType=Y&amp;SerialNum=2004042099" TargetMode="External"/><Relationship Id="rId20" Type="http://schemas.openxmlformats.org/officeDocument/2006/relationships/hyperlink" Target="http://www.westlaw.com/Find/Default.wl?rs=dfa1.0&amp;vr=2.0&amp;DB=6538&amp;FindType=Y&amp;SerialNum=2005213207" TargetMode="External"/><Relationship Id="rId21" Type="http://schemas.openxmlformats.org/officeDocument/2006/relationships/hyperlink" Target="http://www.westlaw.com/Find/Default.wl?rs=dfa1.0&amp;vr=2.0&amp;DB=6538&amp;FindType=Y&amp;SerialNum=2005213208" TargetMode="External"/><Relationship Id="rId22" Type="http://schemas.openxmlformats.org/officeDocument/2006/relationships/hyperlink" Target="http://www.westlaw.com/Find/Default.wl?rs=dfa1.0&amp;vr=2.0&amp;DB=506&amp;FindType=Y&amp;SerialNum=2004989178" TargetMode="External"/><Relationship Id="rId23" Type="http://schemas.openxmlformats.org/officeDocument/2006/relationships/hyperlink" Target="http://www.westlaw.com/Find/Default.wl?rs=dfa1.0&amp;vr=2.0&amp;DB=506&amp;FindType=Y&amp;SerialNum=2004975273" TargetMode="External"/><Relationship Id="rId24" Type="http://schemas.openxmlformats.org/officeDocument/2006/relationships/hyperlink" Target="http://www.westlaw.com/Find/Default.wl?rs=dfa1.0&amp;vr=2.0&amp;DB=506&amp;FindType=Y&amp;SerialNum=2004947393" TargetMode="External"/><Relationship Id="rId25" Type="http://schemas.openxmlformats.org/officeDocument/2006/relationships/hyperlink" Target="http://www.westlaw.com/Find/Default.wl?rs=dfa1.0&amp;vr=2.0&amp;DB=6538&amp;FindType=Y&amp;SerialNum=2004909025" TargetMode="External"/><Relationship Id="rId26" Type="http://schemas.openxmlformats.org/officeDocument/2006/relationships/hyperlink" Target="http://www.westlaw.com/Find/Default.wl?rs=dfa1.0&amp;vr=2.0&amp;DB=506&amp;FindType=Y&amp;SerialNum=2004902146" TargetMode="External"/><Relationship Id="rId27" Type="http://schemas.openxmlformats.org/officeDocument/2006/relationships/hyperlink" Target="http://www.westlaw.com/Find/Default.wl?rs=dfa1.0&amp;vr=2.0&amp;DB=506&amp;FindType=Y&amp;SerialNum=2004902149" TargetMode="External"/><Relationship Id="rId28" Type="http://schemas.openxmlformats.org/officeDocument/2006/relationships/hyperlink" Target="http://www.westlaw.com/Find/Default.wl?rs=dfa1.0&amp;vr=2.0&amp;DB=506&amp;FindType=Y&amp;SerialNum=2004902153" TargetMode="External"/><Relationship Id="rId29" Type="http://schemas.openxmlformats.org/officeDocument/2006/relationships/hyperlink" Target="http://www.westlaw.com/Find/Default.wl?rs=dfa1.0&amp;vr=2.0&amp;DB=6538&amp;FindType=Y&amp;SerialNum=2004889095" TargetMode="External"/><Relationship Id="rId163" Type="http://schemas.openxmlformats.org/officeDocument/2006/relationships/hyperlink" Target="http://www.westlaw.com/Find/Default.wl?rs=dfa1.0&amp;vr=2.0&amp;DB=6538&amp;FindType=Y&amp;SerialNum=2004064164" TargetMode="External"/><Relationship Id="rId164" Type="http://schemas.openxmlformats.org/officeDocument/2006/relationships/hyperlink" Target="http://www.westlaw.com/Find/Default.wl?rs=dfa1.0&amp;vr=2.0&amp;DB=6538&amp;FindType=Y&amp;SerialNum=2003939954" TargetMode="External"/><Relationship Id="rId165" Type="http://schemas.openxmlformats.org/officeDocument/2006/relationships/hyperlink" Target="http://www.westlaw.com/Find/Default.wl?rs=dfa1.0&amp;vr=2.0&amp;DB=6538&amp;FindType=Y&amp;SerialNum=2003937967" TargetMode="External"/><Relationship Id="rId166" Type="http://schemas.openxmlformats.org/officeDocument/2006/relationships/hyperlink" Target="http://www.westlaw.com/Find/Default.wl?rs=dfa1.0&amp;vr=2.0&amp;DB=6538&amp;FindType=Y&amp;SerialNum=2003937972" TargetMode="External"/><Relationship Id="rId167" Type="http://schemas.openxmlformats.org/officeDocument/2006/relationships/hyperlink" Target="http://www.westlaw.com/Find/Default.wl?rs=dfa1.0&amp;vr=2.0&amp;DB=6538&amp;FindType=Y&amp;SerialNum=2003937973" TargetMode="External"/><Relationship Id="rId168" Type="http://schemas.openxmlformats.org/officeDocument/2006/relationships/hyperlink" Target="http://www.westlaw.com/Find/Default.wl?rs=dfa1.0&amp;vr=2.0&amp;DB=506&amp;FindType=Y&amp;SerialNum=2003938751" TargetMode="External"/><Relationship Id="rId169" Type="http://schemas.openxmlformats.org/officeDocument/2006/relationships/hyperlink" Target="http://www.westlaw.com/Find/Default.wl?rs=dfa1.0&amp;vr=2.0&amp;DB=6538&amp;FindType=Y&amp;SerialNum=2003938777" TargetMode="External"/><Relationship Id="rId200" Type="http://schemas.openxmlformats.org/officeDocument/2006/relationships/hyperlink" Target="http://www.westlaw.com/Find/Default.wl?rs=dfa1.0&amp;vr=2.0&amp;DB=6538&amp;FindType=Y&amp;SerialNum=2003828041" TargetMode="External"/><Relationship Id="rId201" Type="http://schemas.openxmlformats.org/officeDocument/2006/relationships/hyperlink" Target="http://www.westlaw.com/Find/Default.wl?rs=dfa1.0&amp;vr=2.0&amp;DB=6538&amp;FindType=Y&amp;SerialNum=2003763539" TargetMode="External"/><Relationship Id="rId202" Type="http://schemas.openxmlformats.org/officeDocument/2006/relationships/hyperlink" Target="http://www.westlaw.com/Find/Default.wl?rs=dfa1.0&amp;vr=2.0&amp;DB=6538&amp;FindType=Y&amp;SerialNum=2003753660" TargetMode="External"/><Relationship Id="rId203" Type="http://schemas.openxmlformats.org/officeDocument/2006/relationships/hyperlink" Target="http://www.westlaw.com/Find/Default.wl?rs=dfa1.0&amp;vr=2.0&amp;DB=6538&amp;FindType=Y&amp;SerialNum=2003753662" TargetMode="External"/><Relationship Id="rId60" Type="http://schemas.openxmlformats.org/officeDocument/2006/relationships/hyperlink" Target="http://www.westlaw.com/Find/Default.wl?rs=dfa1.0&amp;vr=2.0&amp;DB=506&amp;FindType=Y&amp;SerialNum=2004565002" TargetMode="External"/><Relationship Id="rId61" Type="http://schemas.openxmlformats.org/officeDocument/2006/relationships/hyperlink" Target="http://www.westlaw.com/Find/Default.wl?rs=dfa1.0&amp;vr=2.0&amp;DB=6538&amp;FindType=Y&amp;SerialNum=2004577796" TargetMode="External"/><Relationship Id="rId62" Type="http://schemas.openxmlformats.org/officeDocument/2006/relationships/hyperlink" Target="http://www.westlaw.com/Find/Default.wl?rs=dfa1.0&amp;vr=2.0&amp;DB=506&amp;FindType=Y&amp;SerialNum=2004560117" TargetMode="External"/><Relationship Id="rId63" Type="http://schemas.openxmlformats.org/officeDocument/2006/relationships/hyperlink" Target="http://www.westlaw.com/Find/Default.wl?rs=dfa1.0&amp;vr=2.0&amp;DB=6538&amp;FindType=Y&amp;SerialNum=2004560229" TargetMode="External"/><Relationship Id="rId64" Type="http://schemas.openxmlformats.org/officeDocument/2006/relationships/hyperlink" Target="http://www.westlaw.com/Find/Default.wl?rs=dfa1.0&amp;vr=2.0&amp;DB=506&amp;FindType=Y&amp;SerialNum=2004548764" TargetMode="External"/><Relationship Id="rId65" Type="http://schemas.openxmlformats.org/officeDocument/2006/relationships/hyperlink" Target="http://www.westlaw.com/Find/Default.wl?rs=dfa1.0&amp;vr=2.0&amp;DB=6538&amp;FindType=Y&amp;SerialNum=2004547962" TargetMode="External"/><Relationship Id="rId66" Type="http://schemas.openxmlformats.org/officeDocument/2006/relationships/hyperlink" Target="http://www.westlaw.com/Find/Default.wl?rs=dfa1.0&amp;vr=2.0&amp;DB=506&amp;FindType=Y&amp;SerialNum=2004508415" TargetMode="External"/><Relationship Id="rId67" Type="http://schemas.openxmlformats.org/officeDocument/2006/relationships/hyperlink" Target="http://www.westlaw.com/Find/Default.wl?rs=dfa1.0&amp;vr=2.0&amp;DB=506&amp;FindType=Y&amp;SerialNum=2004496621" TargetMode="External"/><Relationship Id="rId68" Type="http://schemas.openxmlformats.org/officeDocument/2006/relationships/hyperlink" Target="http://www.westlaw.com/Find/Default.wl?rs=dfa1.0&amp;vr=2.0&amp;DB=506&amp;FindType=Y&amp;SerialNum=2004493580" TargetMode="External"/><Relationship Id="rId69" Type="http://schemas.openxmlformats.org/officeDocument/2006/relationships/hyperlink" Target="http://www.westlaw.com/Find/Default.wl?rs=dfa1.0&amp;vr=2.0&amp;DB=6538&amp;FindType=Y&amp;SerialNum=2004504609" TargetMode="External"/><Relationship Id="rId204" Type="http://schemas.openxmlformats.org/officeDocument/2006/relationships/hyperlink" Target="http://www.westlaw.com/Find/Default.wl?rs=dfa1.0&amp;vr=2.0&amp;DB=6538&amp;FindType=Y&amp;SerialNum=2003753663" TargetMode="External"/><Relationship Id="rId205" Type="http://schemas.openxmlformats.org/officeDocument/2006/relationships/hyperlink" Target="http://www.westlaw.com/Find/Default.wl?rs=dfa1.0&amp;vr=2.0&amp;DB=6538&amp;FindType=Y&amp;SerialNum=2003753666" TargetMode="External"/><Relationship Id="rId206" Type="http://schemas.openxmlformats.org/officeDocument/2006/relationships/hyperlink" Target="http://www.westlaw.com/Find/Default.wl?rs=dfa1.0&amp;vr=2.0&amp;DB=6538&amp;FindType=Y&amp;SerialNum=2003753667" TargetMode="External"/><Relationship Id="rId207" Type="http://schemas.openxmlformats.org/officeDocument/2006/relationships/hyperlink" Target="http://www.westlaw.com/Find/Default.wl?rs=dfa1.0&amp;vr=2.0&amp;DB=506&amp;FindType=Y&amp;SerialNum=2003740590" TargetMode="External"/><Relationship Id="rId208" Type="http://schemas.openxmlformats.org/officeDocument/2006/relationships/hyperlink" Target="http://www.westlaw.com/Find/Default.wl?rs=dfa1.0&amp;vr=2.0&amp;DB=6538&amp;FindType=Y&amp;SerialNum=2003747766" TargetMode="External"/><Relationship Id="rId209" Type="http://schemas.openxmlformats.org/officeDocument/2006/relationships/hyperlink" Target="http://www.westlaw.com/Find/Default.wl?rs=dfa1.0&amp;vr=2.0&amp;DB=6538&amp;FindType=Y&amp;SerialNum=2003747830" TargetMode="External"/><Relationship Id="rId130" Type="http://schemas.openxmlformats.org/officeDocument/2006/relationships/hyperlink" Target="http://www.westlaw.com/Find/Default.wl?rs=dfa1.0&amp;vr=2.0&amp;DB=6538&amp;FindType=Y&amp;SerialNum=2004189889" TargetMode="External"/><Relationship Id="rId131" Type="http://schemas.openxmlformats.org/officeDocument/2006/relationships/hyperlink" Target="http://www.westlaw.com/Find/Default.wl?rs=dfa1.0&amp;vr=2.0&amp;DB=6538&amp;FindType=Y&amp;SerialNum=2004171982" TargetMode="External"/><Relationship Id="rId132" Type="http://schemas.openxmlformats.org/officeDocument/2006/relationships/hyperlink" Target="http://www.westlaw.com/Find/Default.wl?rs=dfa1.0&amp;vr=2.0&amp;DB=6538&amp;FindType=Y&amp;SerialNum=2004168933" TargetMode="External"/><Relationship Id="rId133" Type="http://schemas.openxmlformats.org/officeDocument/2006/relationships/hyperlink" Target="http://www.westlaw.com/Find/Default.wl?rs=dfa1.0&amp;vr=2.0&amp;DB=506&amp;FindType=Y&amp;SerialNum=2004150192" TargetMode="External"/><Relationship Id="rId134" Type="http://schemas.openxmlformats.org/officeDocument/2006/relationships/hyperlink" Target="http://www.westlaw.com/Find/Default.wl?rs=dfa1.0&amp;vr=2.0&amp;DB=6538&amp;FindType=Y&amp;SerialNum=2004152428" TargetMode="External"/><Relationship Id="rId135" Type="http://schemas.openxmlformats.org/officeDocument/2006/relationships/hyperlink" Target="http://www.westlaw.com/Find/Default.wl?rs=dfa1.0&amp;vr=2.0&amp;DB=6538&amp;FindType=Y&amp;SerialNum=2004168934" TargetMode="External"/><Relationship Id="rId136" Type="http://schemas.openxmlformats.org/officeDocument/2006/relationships/hyperlink" Target="http://www.westlaw.com/Find/Default.wl?rs=dfa1.0&amp;vr=2.0&amp;DB=6538&amp;FindType=Y&amp;SerialNum=2004151063" TargetMode="External"/><Relationship Id="rId137" Type="http://schemas.openxmlformats.org/officeDocument/2006/relationships/hyperlink" Target="http://www.westlaw.com/Find/Default.wl?rs=dfa1.0&amp;vr=2.0&amp;DB=6538&amp;FindType=Y&amp;SerialNum=2004128704" TargetMode="External"/><Relationship Id="rId138" Type="http://schemas.openxmlformats.org/officeDocument/2006/relationships/hyperlink" Target="http://www.westlaw.com/Find/Default.wl?rs=dfa1.0&amp;vr=2.0&amp;DB=6538&amp;FindType=Y&amp;SerialNum=2004136309" TargetMode="External"/><Relationship Id="rId139" Type="http://schemas.openxmlformats.org/officeDocument/2006/relationships/hyperlink" Target="http://www.westlaw.com/Find/Default.wl?rs=dfa1.0&amp;vr=2.0&amp;DB=6538&amp;FindType=Y&amp;SerialNum=2004121769" TargetMode="External"/><Relationship Id="rId170" Type="http://schemas.openxmlformats.org/officeDocument/2006/relationships/hyperlink" Target="http://www.westlaw.com/Find/Default.wl?rs=dfa1.0&amp;vr=2.0&amp;DB=6538&amp;FindType=Y&amp;SerialNum=2003930370" TargetMode="External"/><Relationship Id="rId171" Type="http://schemas.openxmlformats.org/officeDocument/2006/relationships/hyperlink" Target="http://www.westlaw.com/Find/Default.wl?rs=dfa1.0&amp;vr=2.0&amp;DB=6538&amp;FindType=Y&amp;SerialNum=2003930373" TargetMode="External"/><Relationship Id="rId172" Type="http://schemas.openxmlformats.org/officeDocument/2006/relationships/hyperlink" Target="http://www.westlaw.com/Find/Default.wl?rs=dfa1.0&amp;vr=2.0&amp;DB=6538&amp;FindType=Y&amp;SerialNum=2003930374" TargetMode="External"/><Relationship Id="rId30" Type="http://schemas.openxmlformats.org/officeDocument/2006/relationships/hyperlink" Target="http://www.westlaw.com/Find/Default.wl?rs=dfa1.0&amp;vr=2.0&amp;DB=506&amp;FindType=Y&amp;SerialNum=2004838760" TargetMode="External"/><Relationship Id="rId31" Type="http://schemas.openxmlformats.org/officeDocument/2006/relationships/hyperlink" Target="http://www.westlaw.com/Find/Default.wl?rs=dfa1.0&amp;vr=2.0&amp;DB=6538&amp;FindType=Y&amp;SerialNum=2004825443" TargetMode="External"/><Relationship Id="rId32" Type="http://schemas.openxmlformats.org/officeDocument/2006/relationships/hyperlink" Target="http://www.westlaw.com/Find/Default.wl?rs=dfa1.0&amp;vr=2.0&amp;DB=6538&amp;FindType=Y&amp;SerialNum=2004809028" TargetMode="External"/><Relationship Id="rId33" Type="http://schemas.openxmlformats.org/officeDocument/2006/relationships/hyperlink" Target="http://www.westlaw.com/Find/Default.wl?rs=dfa1.0&amp;vr=2.0&amp;DB=506&amp;FindType=Y&amp;SerialNum=2004779749" TargetMode="External"/><Relationship Id="rId34" Type="http://schemas.openxmlformats.org/officeDocument/2006/relationships/hyperlink" Target="http://www.westlaw.com/Find/Default.wl?rs=dfa1.0&amp;vr=2.0&amp;DB=506&amp;FindType=Y&amp;SerialNum=2004779751" TargetMode="External"/><Relationship Id="rId35" Type="http://schemas.openxmlformats.org/officeDocument/2006/relationships/hyperlink" Target="http://www.westlaw.com/Find/Default.wl?rs=dfa1.0&amp;vr=2.0&amp;DB=506&amp;FindType=Y&amp;SerialNum=2004763825" TargetMode="External"/><Relationship Id="rId36" Type="http://schemas.openxmlformats.org/officeDocument/2006/relationships/hyperlink" Target="http://www.westlaw.com/Find/Default.wl?rs=dfa1.0&amp;vr=2.0&amp;DB=6538&amp;FindType=Y&amp;SerialNum=2004763992" TargetMode="External"/><Relationship Id="rId37" Type="http://schemas.openxmlformats.org/officeDocument/2006/relationships/hyperlink" Target="http://www.westlaw.com/Find/Default.wl?rs=dfa1.0&amp;vr=2.0&amp;DB=6538&amp;FindType=Y&amp;SerialNum=2004763994" TargetMode="External"/><Relationship Id="rId38" Type="http://schemas.openxmlformats.org/officeDocument/2006/relationships/hyperlink" Target="http://www.westlaw.com/Find/Default.wl?rs=dfa1.0&amp;vr=2.0&amp;DB=6538&amp;FindType=Y&amp;SerialNum=2004749099" TargetMode="External"/><Relationship Id="rId39" Type="http://schemas.openxmlformats.org/officeDocument/2006/relationships/hyperlink" Target="http://www.westlaw.com/Find/Default.wl?rs=dfa1.0&amp;vr=2.0&amp;DB=506&amp;FindType=Y&amp;SerialNum=2004734254" TargetMode="External"/><Relationship Id="rId173" Type="http://schemas.openxmlformats.org/officeDocument/2006/relationships/hyperlink" Target="http://www.westlaw.com/Find/Default.wl?rs=dfa1.0&amp;vr=2.0&amp;DB=506&amp;FindType=Y&amp;SerialNum=2003928717" TargetMode="External"/><Relationship Id="rId174" Type="http://schemas.openxmlformats.org/officeDocument/2006/relationships/hyperlink" Target="http://www.westlaw.com/Find/Default.wl?rs=dfa1.0&amp;vr=2.0&amp;DB=6538&amp;FindType=Y&amp;SerialNum=2003928797" TargetMode="External"/><Relationship Id="rId175" Type="http://schemas.openxmlformats.org/officeDocument/2006/relationships/hyperlink" Target="http://www.westlaw.com/Find/Default.wl?rs=dfa1.0&amp;vr=2.0&amp;DB=6538&amp;FindType=Y&amp;SerialNum=2003928800" TargetMode="External"/><Relationship Id="rId176" Type="http://schemas.openxmlformats.org/officeDocument/2006/relationships/hyperlink" Target="http://www.westlaw.com/Find/Default.wl?rs=dfa1.0&amp;vr=2.0&amp;DB=506&amp;FindType=Y&amp;SerialNum=2003922903" TargetMode="External"/><Relationship Id="rId177" Type="http://schemas.openxmlformats.org/officeDocument/2006/relationships/hyperlink" Target="http://www.westlaw.com/Find/Default.wl?rs=dfa1.0&amp;vr=2.0&amp;DB=6538&amp;FindType=Y&amp;SerialNum=2003914132" TargetMode="External"/><Relationship Id="rId178" Type="http://schemas.openxmlformats.org/officeDocument/2006/relationships/hyperlink" Target="http://www.westlaw.com/Find/Default.wl?rs=dfa1.0&amp;vr=2.0&amp;DB=6538&amp;FindType=Y&amp;SerialNum=2003914133" TargetMode="External"/><Relationship Id="rId179" Type="http://schemas.openxmlformats.org/officeDocument/2006/relationships/hyperlink" Target="http://www.westlaw.com/Find/Default.wl?rs=dfa1.0&amp;vr=2.0&amp;DB=6538&amp;FindType=Y&amp;SerialNum=2003914134" TargetMode="External"/><Relationship Id="rId210" Type="http://schemas.openxmlformats.org/officeDocument/2006/relationships/hyperlink" Target="http://www.westlaw.com/Find/Default.wl?rs=dfa1.0&amp;vr=2.0&amp;DB=6538&amp;FindType=Y&amp;SerialNum=2003740631" TargetMode="External"/><Relationship Id="rId211" Type="http://schemas.openxmlformats.org/officeDocument/2006/relationships/hyperlink" Target="http://www.westlaw.com/Find/Default.wl?rs=dfa1.0&amp;vr=2.0&amp;DB=6538&amp;FindType=Y&amp;SerialNum=2003740632" TargetMode="External"/><Relationship Id="rId212" Type="http://schemas.openxmlformats.org/officeDocument/2006/relationships/hyperlink" Target="http://www.westlaw.com/Find/Default.wl?rs=dfa1.0&amp;vr=2.0&amp;DB=6538&amp;FindType=Y&amp;SerialNum=2003740633" TargetMode="External"/><Relationship Id="rId213" Type="http://schemas.openxmlformats.org/officeDocument/2006/relationships/hyperlink" Target="http://www.westlaw.com/Find/Default.wl?rs=dfa1.0&amp;vr=2.0&amp;DB=506&amp;FindType=Y&amp;SerialNum=2003741745" TargetMode="External"/><Relationship Id="rId70" Type="http://schemas.openxmlformats.org/officeDocument/2006/relationships/hyperlink" Target="http://www.westlaw.com/Find/Default.wl?rs=dfa1.0&amp;vr=2.0&amp;DB=506&amp;FindType=Y&amp;SerialNum=2004468615" TargetMode="External"/><Relationship Id="rId71" Type="http://schemas.openxmlformats.org/officeDocument/2006/relationships/hyperlink" Target="http://www.westlaw.com/Find/Default.wl?rs=dfa1.0&amp;vr=2.0&amp;DB=6538&amp;FindType=Y&amp;SerialNum=2004469186" TargetMode="External"/><Relationship Id="rId72" Type="http://schemas.openxmlformats.org/officeDocument/2006/relationships/hyperlink" Target="http://www.westlaw.com/Find/Default.wl?rs=dfa1.0&amp;vr=2.0&amp;DB=506&amp;FindType=Y&amp;SerialNum=2004461342" TargetMode="External"/><Relationship Id="rId73" Type="http://schemas.openxmlformats.org/officeDocument/2006/relationships/hyperlink" Target="http://www.westlaw.com/Find/Default.wl?rs=dfa1.0&amp;vr=2.0&amp;DB=6538&amp;FindType=Y&amp;SerialNum=2004465367" TargetMode="External"/><Relationship Id="rId74" Type="http://schemas.openxmlformats.org/officeDocument/2006/relationships/hyperlink" Target="http://www.westlaw.com/Find/Default.wl?rs=dfa1.0&amp;vr=2.0&amp;DB=6538&amp;FindType=Y&amp;SerialNum=2004426257" TargetMode="External"/><Relationship Id="rId75" Type="http://schemas.openxmlformats.org/officeDocument/2006/relationships/hyperlink" Target="http://www.westlaw.com/Find/Default.wl?rs=dfa1.0&amp;vr=2.0&amp;DB=6538&amp;FindType=Y&amp;SerialNum=2004413564" TargetMode="External"/><Relationship Id="rId76" Type="http://schemas.openxmlformats.org/officeDocument/2006/relationships/hyperlink" Target="http://www.westlaw.com/Find/Default.wl?rs=dfa1.0&amp;vr=2.0&amp;DB=6538&amp;FindType=Y&amp;SerialNum=2004376755" TargetMode="External"/><Relationship Id="rId77" Type="http://schemas.openxmlformats.org/officeDocument/2006/relationships/hyperlink" Target="http://www.westlaw.com/Find/Default.wl?rs=dfa1.0&amp;vr=2.0&amp;DB=506&amp;FindType=Y&amp;SerialNum=2004374197" TargetMode="External"/><Relationship Id="rId78" Type="http://schemas.openxmlformats.org/officeDocument/2006/relationships/hyperlink" Target="http://www.westlaw.com/Find/Default.wl?rs=dfa1.0&amp;vr=2.0&amp;DB=6538&amp;FindType=Y&amp;SerialNum=2004376754" TargetMode="External"/><Relationship Id="rId79" Type="http://schemas.openxmlformats.org/officeDocument/2006/relationships/hyperlink" Target="http://www.westlaw.com/Find/Default.wl?rs=dfa1.0&amp;vr=2.0&amp;DB=6538&amp;FindType=Y&amp;SerialNum=2004374337" TargetMode="External"/><Relationship Id="rId214" Type="http://schemas.openxmlformats.org/officeDocument/2006/relationships/hyperlink" Target="http://www.westlaw.com/Find/Default.wl?rs=dfa1.0&amp;vr=2.0&amp;DB=6538&amp;FindType=Y&amp;SerialNum=2003825853" TargetMode="External"/><Relationship Id="rId215" Type="http://schemas.openxmlformats.org/officeDocument/2006/relationships/hyperlink" Target="http://www.westlaw.com/Find/Default.wl?rs=dfa1.0&amp;vr=2.0&amp;DB=6538&amp;FindType=Y&amp;SerialNum=2003736027" TargetMode="External"/><Relationship Id="rId216" Type="http://schemas.openxmlformats.org/officeDocument/2006/relationships/hyperlink" Target="http://www.westlaw.com/Find/Default.wl?rs=dfa1.0&amp;vr=2.0&amp;DB=6538&amp;FindType=Y&amp;SerialNum=2003729392" TargetMode="External"/><Relationship Id="rId217" Type="http://schemas.openxmlformats.org/officeDocument/2006/relationships/hyperlink" Target="http://www.westlaw.com/Find/Default.wl?rs=dfa1.0&amp;vr=2.0&amp;DB=6538&amp;FindType=Y&amp;SerialNum=2003729393" TargetMode="External"/><Relationship Id="rId218" Type="http://schemas.openxmlformats.org/officeDocument/2006/relationships/hyperlink" Target="http://www.westlaw.com/Find/Default.wl?rs=dfa1.0&amp;vr=2.0&amp;DB=6538&amp;FindType=Y&amp;SerialNum=2003729402" TargetMode="External"/><Relationship Id="rId219" Type="http://schemas.openxmlformats.org/officeDocument/2006/relationships/hyperlink" Target="http://www.westlaw.com/Find/Default.wl?rs=dfa1.0&amp;vr=2.0&amp;DB=6538&amp;FindType=Y&amp;SerialNum=2003736025" TargetMode="External"/><Relationship Id="rId1" Type="http://schemas.openxmlformats.org/officeDocument/2006/relationships/hyperlink" Target="http://www.westlaw.com/Find/Default.wl?rs=dfa1.0&amp;vr=2.0&amp;DB=6538&amp;FindType=Y&amp;SerialNum=2005201485" TargetMode="External"/><Relationship Id="rId2" Type="http://schemas.openxmlformats.org/officeDocument/2006/relationships/hyperlink" Target="http://www.westlaw.com/Find/Default.wl?rs=dfa1.0&amp;vr=2.0&amp;DB=6538&amp;FindType=Y&amp;SerialNum=2005201489" TargetMode="External"/><Relationship Id="rId3" Type="http://schemas.openxmlformats.org/officeDocument/2006/relationships/hyperlink" Target="http://www.westlaw.com/Find/Default.wl?rs=dfa1.0&amp;vr=2.0&amp;DB=6538&amp;FindType=Y&amp;SerialNum=2005201507" TargetMode="External"/><Relationship Id="rId4" Type="http://schemas.openxmlformats.org/officeDocument/2006/relationships/hyperlink" Target="http://www.westlaw.com/Find/Default.wl?rs=dfa1.0&amp;vr=2.0&amp;DB=6538&amp;FindType=Y&amp;SerialNum=2005214476" TargetMode="External"/><Relationship Id="rId100" Type="http://schemas.openxmlformats.org/officeDocument/2006/relationships/hyperlink" Target="http://www.westlaw.com/Find/Default.wl?rs=dfa1.0&amp;vr=2.0&amp;DB=6538&amp;FindType=Y&amp;SerialNum=2004327339" TargetMode="External"/><Relationship Id="rId101" Type="http://schemas.openxmlformats.org/officeDocument/2006/relationships/hyperlink" Target="http://www.westlaw.com/Find/Default.wl?rs=dfa1.0&amp;vr=2.0&amp;DB=6538&amp;FindType=Y&amp;SerialNum=2004313330" TargetMode="External"/><Relationship Id="rId102" Type="http://schemas.openxmlformats.org/officeDocument/2006/relationships/hyperlink" Target="http://www.westlaw.com/Find/Default.wl?rs=dfa1.0&amp;vr=2.0&amp;DB=6538&amp;FindType=Y&amp;SerialNum=2004313331" TargetMode="External"/><Relationship Id="rId103" Type="http://schemas.openxmlformats.org/officeDocument/2006/relationships/hyperlink" Target="http://www.westlaw.com/Find/Default.wl?rs=dfa1.0&amp;vr=2.0&amp;DB=506&amp;FindType=Y&amp;SerialNum=2004301733" TargetMode="External"/><Relationship Id="rId104" Type="http://schemas.openxmlformats.org/officeDocument/2006/relationships/hyperlink" Target="http://www.westlaw.com/Find/Default.wl?rs=dfa1.0&amp;vr=2.0&amp;DB=506&amp;FindType=Y&amp;SerialNum=2004301751" TargetMode="External"/><Relationship Id="rId105" Type="http://schemas.openxmlformats.org/officeDocument/2006/relationships/hyperlink" Target="http://www.westlaw.com/Find/Default.wl?rs=dfa1.0&amp;vr=2.0&amp;DB=6538&amp;FindType=Y&amp;SerialNum=2004304091" TargetMode="External"/><Relationship Id="rId106" Type="http://schemas.openxmlformats.org/officeDocument/2006/relationships/hyperlink" Target="http://www.westlaw.com/Find/Default.wl?rs=dfa1.0&amp;vr=2.0&amp;DB=6538&amp;FindType=Y&amp;SerialNum=2004308143" TargetMode="External"/><Relationship Id="rId107" Type="http://schemas.openxmlformats.org/officeDocument/2006/relationships/hyperlink" Target="http://www.westlaw.com/Find/Default.wl?rs=dfa1.0&amp;vr=2.0&amp;DB=6538&amp;FindType=Y&amp;SerialNum=2004308147" TargetMode="External"/><Relationship Id="rId108" Type="http://schemas.openxmlformats.org/officeDocument/2006/relationships/hyperlink" Target="http://www.westlaw.com/Find/Default.wl?rs=dfa1.0&amp;vr=2.0&amp;DB=6538&amp;FindType=Y&amp;SerialNum=2004308148" TargetMode="External"/><Relationship Id="rId109" Type="http://schemas.openxmlformats.org/officeDocument/2006/relationships/hyperlink" Target="http://www.westlaw.com/Find/Default.wl?rs=dfa1.0&amp;vr=2.0&amp;DB=6538&amp;FindType=Y&amp;SerialNum=2004308150" TargetMode="External"/><Relationship Id="rId5" Type="http://schemas.openxmlformats.org/officeDocument/2006/relationships/hyperlink" Target="http://www.westlaw.com/Find/Default.wl?rs=dfa1.0&amp;vr=2.0&amp;DB=6538&amp;FindType=Y&amp;SerialNum=2005214477" TargetMode="External"/><Relationship Id="rId6" Type="http://schemas.openxmlformats.org/officeDocument/2006/relationships/hyperlink" Target="http://www.westlaw.com/Find/Default.wl?rs=dfa1.0&amp;vr=2.0&amp;DB=6538&amp;FindType=Y&amp;SerialNum=2005214478" TargetMode="External"/><Relationship Id="rId7" Type="http://schemas.openxmlformats.org/officeDocument/2006/relationships/hyperlink" Target="http://www.westlaw.com/Find/Default.wl?rs=dfa1.0&amp;vr=2.0&amp;DB=6538&amp;FindType=Y&amp;SerialNum=2005214479" TargetMode="External"/><Relationship Id="rId8" Type="http://schemas.openxmlformats.org/officeDocument/2006/relationships/hyperlink" Target="http://www.westlaw.com/Find/Default.wl?rs=dfa1.0&amp;vr=2.0&amp;DB=6538&amp;FindType=Y&amp;SerialNum=2005214480" TargetMode="External"/><Relationship Id="rId9" Type="http://schemas.openxmlformats.org/officeDocument/2006/relationships/hyperlink" Target="http://www.westlaw.com/Find/Default.wl?rs=dfa1.0&amp;vr=2.0&amp;DB=6538&amp;FindType=Y&amp;SerialNum=2005214482" TargetMode="External"/><Relationship Id="rId140" Type="http://schemas.openxmlformats.org/officeDocument/2006/relationships/hyperlink" Target="http://www.westlaw.com/Find/Default.wl?rs=dfa1.0&amp;vr=2.0&amp;DB=506&amp;FindType=Y&amp;SerialNum=2004118341" TargetMode="External"/><Relationship Id="rId141" Type="http://schemas.openxmlformats.org/officeDocument/2006/relationships/hyperlink" Target="http://www.westlaw.com/Find/Default.wl?rs=dfa1.0&amp;vr=2.0&amp;DB=6538&amp;FindType=Y&amp;SerialNum=2004118906" TargetMode="External"/></Relationships>
</file>

<file path=xl/worksheets/_rels/sheet17.xml.rels><?xml version="1.0" encoding="UTF-8" standalone="yes"?>
<Relationships xmlns="http://schemas.openxmlformats.org/package/2006/relationships"><Relationship Id="rId106" Type="http://schemas.openxmlformats.org/officeDocument/2006/relationships/hyperlink" Target="http://www.westlaw.com/Find/Default.wl?rs=dfa1.0&amp;vr=2.0&amp;DB=6538&amp;FindType=Y&amp;SerialNum=2006777211" TargetMode="External"/><Relationship Id="rId107" Type="http://schemas.openxmlformats.org/officeDocument/2006/relationships/hyperlink" Target="http://www.westlaw.com/Find/Default.wl?rs=dfa1.0&amp;vr=2.0&amp;DB=6538&amp;FindType=Y&amp;SerialNum=2006777212" TargetMode="External"/><Relationship Id="rId108" Type="http://schemas.openxmlformats.org/officeDocument/2006/relationships/hyperlink" Target="http://www.westlaw.com/Find/Default.wl?rs=dfa1.0&amp;vr=2.0&amp;DB=6538&amp;FindType=Y&amp;SerialNum=2006777408" TargetMode="External"/><Relationship Id="rId109" Type="http://schemas.openxmlformats.org/officeDocument/2006/relationships/hyperlink" Target="http://www.westlaw.com/Find/Default.wl?rs=dfa1.0&amp;vr=2.0&amp;DB=6538&amp;FindType=Y&amp;SerialNum=2006793149" TargetMode="External"/><Relationship Id="rId70" Type="http://schemas.openxmlformats.org/officeDocument/2006/relationships/hyperlink" Target="http://www.westlaw.com/Find/Default.wl?rs=dfa1.0&amp;vr=2.0&amp;DB=6538&amp;FindType=Y&amp;SerialNum=2006990532" TargetMode="External"/><Relationship Id="rId71" Type="http://schemas.openxmlformats.org/officeDocument/2006/relationships/hyperlink" Target="http://www.westlaw.com/Find/Default.wl?rs=dfa1.0&amp;vr=2.0&amp;DB=6538&amp;FindType=Y&amp;SerialNum=2006986917" TargetMode="External"/><Relationship Id="rId72" Type="http://schemas.openxmlformats.org/officeDocument/2006/relationships/hyperlink" Target="http://www.westlaw.com/Find/Default.wl?rs=dfa1.0&amp;vr=2.0&amp;DB=6538&amp;FindType=Y&amp;SerialNum=2006979833" TargetMode="External"/><Relationship Id="rId73" Type="http://schemas.openxmlformats.org/officeDocument/2006/relationships/hyperlink" Target="http://www.westlaw.com/Find/Default.wl?rs=dfa1.0&amp;vr=2.0&amp;DB=6538&amp;FindType=Y&amp;SerialNum=2006969875" TargetMode="External"/><Relationship Id="rId74" Type="http://schemas.openxmlformats.org/officeDocument/2006/relationships/hyperlink" Target="http://www.westlaw.com/Find/Default.wl?rs=dfa1.0&amp;vr=2.0&amp;DB=6538&amp;FindType=Y&amp;SerialNum=2006959967" TargetMode="External"/><Relationship Id="rId75" Type="http://schemas.openxmlformats.org/officeDocument/2006/relationships/hyperlink" Target="http://www.westlaw.com/Find/Default.wl?rs=dfa1.0&amp;vr=2.0&amp;DB=6538&amp;FindType=Y&amp;SerialNum=2006939443" TargetMode="External"/><Relationship Id="rId76" Type="http://schemas.openxmlformats.org/officeDocument/2006/relationships/hyperlink" Target="http://www.westlaw.com/Find/Default.wl?rs=dfa1.0&amp;vr=2.0&amp;DB=6538&amp;FindType=Y&amp;SerialNum=2006940508" TargetMode="External"/><Relationship Id="rId77" Type="http://schemas.openxmlformats.org/officeDocument/2006/relationships/hyperlink" Target="http://www.westlaw.com/Find/Default.wl?rs=dfa1.0&amp;vr=2.0&amp;DB=6538&amp;FindType=Y&amp;SerialNum=2006932125" TargetMode="External"/><Relationship Id="rId78" Type="http://schemas.openxmlformats.org/officeDocument/2006/relationships/hyperlink" Target="http://www.westlaw.com/Find/Default.wl?rs=dfa1.0&amp;vr=2.0&amp;DB=6538&amp;FindType=Y&amp;SerialNum=2006932128" TargetMode="External"/><Relationship Id="rId79" Type="http://schemas.openxmlformats.org/officeDocument/2006/relationships/hyperlink" Target="http://www.westlaw.com/Find/Default.wl?rs=dfa1.0&amp;vr=2.0&amp;DB=6538&amp;FindType=Y&amp;SerialNum=2006925673" TargetMode="External"/><Relationship Id="rId170" Type="http://schemas.openxmlformats.org/officeDocument/2006/relationships/hyperlink" Target="http://www.westlaw.com/Find/Default.wl?rs=dfa1.0&amp;vr=2.0&amp;DB=6538&amp;FindType=Y&amp;SerialNum=2006496707" TargetMode="External"/><Relationship Id="rId171" Type="http://schemas.openxmlformats.org/officeDocument/2006/relationships/hyperlink" Target="http://www.westlaw.com/Find/Default.wl?rs=dfa1.0&amp;vr=2.0&amp;DB=6538&amp;FindType=Y&amp;SerialNum=2006470264" TargetMode="External"/><Relationship Id="rId172" Type="http://schemas.openxmlformats.org/officeDocument/2006/relationships/hyperlink" Target="http://www.westlaw.com/Find/Default.wl?rs=dfa1.0&amp;vr=2.0&amp;DB=6538&amp;FindType=Y&amp;SerialNum=2006470265" TargetMode="External"/><Relationship Id="rId173" Type="http://schemas.openxmlformats.org/officeDocument/2006/relationships/hyperlink" Target="http://www.westlaw.com/Find/Default.wl?rs=dfa1.0&amp;vr=2.0&amp;DB=6538&amp;FindType=Y&amp;SerialNum=2006466425" TargetMode="External"/><Relationship Id="rId174" Type="http://schemas.openxmlformats.org/officeDocument/2006/relationships/hyperlink" Target="http://www.westlaw.com/Find/Default.wl?rs=dfa1.0&amp;vr=2.0&amp;DB=506&amp;FindType=Y&amp;SerialNum=2006467377" TargetMode="External"/><Relationship Id="rId175" Type="http://schemas.openxmlformats.org/officeDocument/2006/relationships/hyperlink" Target="http://www.westlaw.com/Find/Default.wl?rs=dfa1.0&amp;vr=2.0&amp;DB=6538&amp;FindType=Y&amp;SerialNum=2006467896" TargetMode="External"/><Relationship Id="rId176" Type="http://schemas.openxmlformats.org/officeDocument/2006/relationships/hyperlink" Target="http://www.westlaw.com/Find/Default.wl?rs=dfa1.0&amp;vr=2.0&amp;DB=6538&amp;FindType=Y&amp;SerialNum=2006467898" TargetMode="External"/><Relationship Id="rId177" Type="http://schemas.openxmlformats.org/officeDocument/2006/relationships/hyperlink" Target="http://www.westlaw.com/Find/Default.wl?rs=dfa1.0&amp;vr=2.0&amp;DB=6538&amp;FindType=Y&amp;SerialNum=2006465140" TargetMode="External"/><Relationship Id="rId178" Type="http://schemas.openxmlformats.org/officeDocument/2006/relationships/hyperlink" Target="http://www.westlaw.com/Find/Default.wl?rs=dfa1.0&amp;vr=2.0&amp;DB=6538&amp;FindType=Y&amp;SerialNum=2006448467" TargetMode="External"/><Relationship Id="rId179" Type="http://schemas.openxmlformats.org/officeDocument/2006/relationships/hyperlink" Target="http://www.westlaw.com/Find/Default.wl?rs=dfa1.0&amp;vr=2.0&amp;DB=6538&amp;FindType=Y&amp;SerialNum=2006448543" TargetMode="External"/><Relationship Id="rId10" Type="http://schemas.openxmlformats.org/officeDocument/2006/relationships/hyperlink" Target="http://www.westlaw.com/Find/Default.wl?rs=dfa1.0&amp;vr=2.0&amp;DB=6538&amp;FindType=Y&amp;SerialNum=2007343578" TargetMode="External"/><Relationship Id="rId11" Type="http://schemas.openxmlformats.org/officeDocument/2006/relationships/hyperlink" Target="http://www.westlaw.com/Find/Default.wl?rs=dfa1.0&amp;vr=2.0&amp;DB=6538&amp;FindType=Y&amp;SerialNum=2007326803" TargetMode="External"/><Relationship Id="rId12" Type="http://schemas.openxmlformats.org/officeDocument/2006/relationships/hyperlink" Target="http://www.westlaw.com/Find/Default.wl?rs=dfa1.0&amp;vr=2.0&amp;DB=6538&amp;FindType=Y&amp;SerialNum=2007326804" TargetMode="External"/><Relationship Id="rId13" Type="http://schemas.openxmlformats.org/officeDocument/2006/relationships/hyperlink" Target="http://www.westlaw.com/Find/Default.wl?rs=dfa1.0&amp;vr=2.0&amp;DB=506&amp;FindType=Y&amp;SerialNum=2007307431" TargetMode="External"/><Relationship Id="rId14" Type="http://schemas.openxmlformats.org/officeDocument/2006/relationships/hyperlink" Target="http://www.westlaw.com/Find/Default.wl?rs=dfa1.0&amp;vr=2.0&amp;DB=6538&amp;FindType=Y&amp;SerialNum=2007310012" TargetMode="External"/><Relationship Id="rId15" Type="http://schemas.openxmlformats.org/officeDocument/2006/relationships/hyperlink" Target="http://www.westlaw.com/Find/Default.wl?rs=dfa1.0&amp;vr=2.0&amp;DB=506&amp;FindType=Y&amp;SerialNum=2007294631" TargetMode="External"/><Relationship Id="rId16" Type="http://schemas.openxmlformats.org/officeDocument/2006/relationships/hyperlink" Target="http://www.westlaw.com/Find/Default.wl?rs=dfa1.0&amp;vr=2.0&amp;DB=6538&amp;FindType=Y&amp;SerialNum=2007293625" TargetMode="External"/><Relationship Id="rId17" Type="http://schemas.openxmlformats.org/officeDocument/2006/relationships/hyperlink" Target="http://www.westlaw.com/Find/Default.wl?rs=dfa1.0&amp;vr=2.0&amp;DB=506&amp;FindType=Y&amp;SerialNum=2007287272" TargetMode="External"/><Relationship Id="rId18" Type="http://schemas.openxmlformats.org/officeDocument/2006/relationships/hyperlink" Target="http://www.westlaw.com/Find/Default.wl?rs=dfa1.0&amp;vr=2.0&amp;DB=6538&amp;FindType=Y&amp;SerialNum=2007288541" TargetMode="External"/><Relationship Id="rId19" Type="http://schemas.openxmlformats.org/officeDocument/2006/relationships/hyperlink" Target="http://www.westlaw.com/Find/Default.wl?rs=dfa1.0&amp;vr=2.0&amp;DB=506&amp;FindType=Y&amp;SerialNum=2007281222" TargetMode="External"/><Relationship Id="rId110" Type="http://schemas.openxmlformats.org/officeDocument/2006/relationships/hyperlink" Target="http://www.westlaw.com/Find/Default.wl?rs=dfa1.0&amp;vr=2.0&amp;DB=6538&amp;FindType=Y&amp;SerialNum=2006777406" TargetMode="External"/><Relationship Id="rId111" Type="http://schemas.openxmlformats.org/officeDocument/2006/relationships/hyperlink" Target="http://www.westlaw.com/Find/Default.wl?rs=dfa1.0&amp;vr=2.0&amp;DB=6538&amp;FindType=Y&amp;SerialNum=2006760039" TargetMode="External"/><Relationship Id="rId112" Type="http://schemas.openxmlformats.org/officeDocument/2006/relationships/hyperlink" Target="http://www.westlaw.com/Find/Default.wl?rs=dfa1.0&amp;vr=2.0&amp;FindType=Y&amp;SerialNum=2006760040" TargetMode="External"/><Relationship Id="rId113" Type="http://schemas.openxmlformats.org/officeDocument/2006/relationships/hyperlink" Target="http://www.westlaw.com/Find/Default.wl?rs=dfa1.0&amp;vr=2.0&amp;DB=6538&amp;FindType=Y&amp;SerialNum=2006760145" TargetMode="External"/><Relationship Id="rId114" Type="http://schemas.openxmlformats.org/officeDocument/2006/relationships/hyperlink" Target="http://www.westlaw.com/Find/Default.wl?rs=dfa1.0&amp;vr=2.0&amp;FindType=Y&amp;SerialNum=2006760175" TargetMode="External"/><Relationship Id="rId115" Type="http://schemas.openxmlformats.org/officeDocument/2006/relationships/hyperlink" Target="http://www.westlaw.com/Find/Default.wl?rs=dfa1.0&amp;vr=2.0&amp;DB=6538&amp;FindType=Y&amp;SerialNum=2006749540" TargetMode="External"/><Relationship Id="rId116" Type="http://schemas.openxmlformats.org/officeDocument/2006/relationships/hyperlink" Target="http://www.westlaw.com/Find/Default.wl?rs=dfa1.0&amp;vr=2.0&amp;DB=6538&amp;FindType=Y&amp;SerialNum=2006749746" TargetMode="External"/><Relationship Id="rId117" Type="http://schemas.openxmlformats.org/officeDocument/2006/relationships/hyperlink" Target="http://www.westlaw.com/Find/Default.wl?rs=dfa1.0&amp;vr=2.0&amp;DB=6538&amp;FindType=Y&amp;SerialNum=2006749747" TargetMode="External"/><Relationship Id="rId118" Type="http://schemas.openxmlformats.org/officeDocument/2006/relationships/hyperlink" Target="http://www.westlaw.com/Find/Default.wl?rs=dfa1.0&amp;vr=2.0&amp;DB=6538&amp;FindType=Y&amp;SerialNum=2006742818" TargetMode="External"/><Relationship Id="rId119" Type="http://schemas.openxmlformats.org/officeDocument/2006/relationships/hyperlink" Target="http://www.westlaw.com/Find/Default.wl?rs=dfa1.0&amp;vr=2.0&amp;DB=6538&amp;FindType=Y&amp;SerialNum=2006742819" TargetMode="External"/><Relationship Id="rId200" Type="http://schemas.openxmlformats.org/officeDocument/2006/relationships/hyperlink" Target="http://www.westlaw.com/Find/Default.wl?rs=dfa1.0&amp;vr=2.0&amp;DB=6538&amp;FindType=Y&amp;SerialNum=2006330104" TargetMode="External"/><Relationship Id="rId201" Type="http://schemas.openxmlformats.org/officeDocument/2006/relationships/hyperlink" Target="http://www.westlaw.com/Find/Default.wl?rs=dfa1.0&amp;vr=2.0&amp;DB=6538&amp;FindType=Y&amp;SerialNum=2006324641" TargetMode="External"/><Relationship Id="rId202" Type="http://schemas.openxmlformats.org/officeDocument/2006/relationships/hyperlink" Target="http://www.westlaw.com/Find/Default.wl?rs=dfa1.0&amp;vr=2.0&amp;DB=6538&amp;FindType=Y&amp;SerialNum=2006330397" TargetMode="External"/><Relationship Id="rId203" Type="http://schemas.openxmlformats.org/officeDocument/2006/relationships/hyperlink" Target="http://www.westlaw.com/Find/Default.wl?rs=dfa1.0&amp;vr=2.0&amp;DB=6538&amp;FindType=Y&amp;SerialNum=2006320518" TargetMode="External"/><Relationship Id="rId204" Type="http://schemas.openxmlformats.org/officeDocument/2006/relationships/hyperlink" Target="http://www.westlaw.com/Find/Default.wl?rs=dfa1.0&amp;vr=2.0&amp;DB=6538&amp;FindType=Y&amp;SerialNum=2006304914" TargetMode="External"/><Relationship Id="rId205" Type="http://schemas.openxmlformats.org/officeDocument/2006/relationships/hyperlink" Target="http://www.westlaw.com/Find/Default.wl?rs=dfa1.0&amp;vr=2.0&amp;DB=6538&amp;FindType=Y&amp;SerialNum=2006304953" TargetMode="External"/><Relationship Id="rId206" Type="http://schemas.openxmlformats.org/officeDocument/2006/relationships/hyperlink" Target="http://www.westlaw.com/Find/Default.wl?rs=dfa1.0&amp;vr=2.0&amp;DB=6538&amp;FindType=Y&amp;SerialNum=2006307034" TargetMode="External"/><Relationship Id="rId207" Type="http://schemas.openxmlformats.org/officeDocument/2006/relationships/hyperlink" Target="http://www.westlaw.com/Find/Default.wl?rs=dfa1.0&amp;vr=2.0&amp;DB=506&amp;FindType=Y&amp;SerialNum=2006272155" TargetMode="External"/><Relationship Id="rId208" Type="http://schemas.openxmlformats.org/officeDocument/2006/relationships/hyperlink" Target="http://www.westlaw.com/Find/Default.wl?rs=dfa1.0&amp;vr=2.0&amp;DB=6538&amp;FindType=Y&amp;SerialNum=2006259330" TargetMode="External"/><Relationship Id="rId209" Type="http://schemas.openxmlformats.org/officeDocument/2006/relationships/hyperlink" Target="http://www.westlaw.com/Find/Default.wl?rs=dfa1.0&amp;vr=2.0&amp;DB=6538&amp;FindType=Y&amp;SerialNum=2006254073" TargetMode="External"/><Relationship Id="rId1" Type="http://schemas.openxmlformats.org/officeDocument/2006/relationships/hyperlink" Target="http://www.westlaw.com/Find/Default.wl?rs=dfa1.0&amp;vr=2.0&amp;DB=6538&amp;FindType=Y&amp;SerialNum=2007408059" TargetMode="External"/><Relationship Id="rId2" Type="http://schemas.openxmlformats.org/officeDocument/2006/relationships/hyperlink" Target="http://www.westlaw.com/Find/Default.wl?rs=dfa1.0&amp;vr=2.0&amp;DB=6538&amp;FindType=Y&amp;SerialNum=2007388536" TargetMode="External"/><Relationship Id="rId3" Type="http://schemas.openxmlformats.org/officeDocument/2006/relationships/hyperlink" Target="http://www.westlaw.com/Find/Default.wl?rs=dfa1.0&amp;vr=2.0&amp;DB=506&amp;FindType=Y&amp;SerialNum=2007363523" TargetMode="External"/><Relationship Id="rId4" Type="http://schemas.openxmlformats.org/officeDocument/2006/relationships/hyperlink" Target="http://www.westlaw.com/Find/Default.wl?rs=dfa1.0&amp;vr=2.0&amp;DB=6538&amp;FindType=Y&amp;SerialNum=2007365179" TargetMode="External"/><Relationship Id="rId5" Type="http://schemas.openxmlformats.org/officeDocument/2006/relationships/hyperlink" Target="http://www.westlaw.com/Find/Default.wl?rs=dfa1.0&amp;vr=2.0&amp;DB=6538&amp;FindType=Y&amp;SerialNum=2007365180" TargetMode="External"/><Relationship Id="rId6" Type="http://schemas.openxmlformats.org/officeDocument/2006/relationships/hyperlink" Target="http://www.westlaw.com/Find/Default.wl?rs=dfa1.0&amp;vr=2.0&amp;DB=6538&amp;FindType=Y&amp;SerialNum=2007358247" TargetMode="External"/><Relationship Id="rId7" Type="http://schemas.openxmlformats.org/officeDocument/2006/relationships/hyperlink" Target="http://www.westlaw.com/Find/Default.wl?rs=dfa1.0&amp;vr=2.0&amp;DB=6538&amp;FindType=Y&amp;SerialNum=2007342926" TargetMode="External"/><Relationship Id="rId8" Type="http://schemas.openxmlformats.org/officeDocument/2006/relationships/hyperlink" Target="http://www.westlaw.com/Find/Default.wl?rs=dfa1.0&amp;vr=2.0&amp;DB=6538&amp;FindType=Y&amp;SerialNum=2007342927" TargetMode="External"/><Relationship Id="rId9" Type="http://schemas.openxmlformats.org/officeDocument/2006/relationships/hyperlink" Target="http://www.westlaw.com/Find/Default.wl?rs=dfa1.0&amp;vr=2.0&amp;DB=6538&amp;FindType=Y&amp;SerialNum=2007342928" TargetMode="External"/><Relationship Id="rId80" Type="http://schemas.openxmlformats.org/officeDocument/2006/relationships/hyperlink" Target="http://www.westlaw.com/Find/Default.wl?rs=dfa1.0&amp;vr=2.0&amp;DB=6538&amp;FindType=Y&amp;SerialNum=2006925675" TargetMode="External"/><Relationship Id="rId81" Type="http://schemas.openxmlformats.org/officeDocument/2006/relationships/hyperlink" Target="http://www.westlaw.com/Find/Default.wl?rs=dfa1.0&amp;vr=2.0&amp;DB=6538&amp;FindType=Y&amp;SerialNum=2006878469" TargetMode="External"/><Relationship Id="rId82" Type="http://schemas.openxmlformats.org/officeDocument/2006/relationships/hyperlink" Target="http://www.westlaw.com/Find/Default.wl?rs=dfa1.0&amp;vr=2.0&amp;DB=6538&amp;FindType=Y&amp;SerialNum=2006879373" TargetMode="External"/><Relationship Id="rId83" Type="http://schemas.openxmlformats.org/officeDocument/2006/relationships/hyperlink" Target="http://www.westlaw.com/Find/Default.wl?rs=dfa1.0&amp;vr=2.0&amp;DB=6538&amp;FindType=Y&amp;SerialNum=2006879380" TargetMode="External"/><Relationship Id="rId84" Type="http://schemas.openxmlformats.org/officeDocument/2006/relationships/hyperlink" Target="http://www.westlaw.com/Find/Default.wl?rs=dfa1.0&amp;vr=2.0&amp;DB=6538&amp;FindType=Y&amp;SerialNum=2006876878" TargetMode="External"/><Relationship Id="rId85" Type="http://schemas.openxmlformats.org/officeDocument/2006/relationships/hyperlink" Target="http://www.westlaw.com/Find/Default.wl?rs=dfa1.0&amp;vr=2.0&amp;DB=6538&amp;FindType=Y&amp;SerialNum=2006876879" TargetMode="External"/><Relationship Id="rId86" Type="http://schemas.openxmlformats.org/officeDocument/2006/relationships/hyperlink" Target="http://www.westlaw.com/Find/Default.wl?rs=dfa1.0&amp;vr=2.0&amp;DB=6538&amp;FindType=Y&amp;SerialNum=2006876880" TargetMode="External"/><Relationship Id="rId87" Type="http://schemas.openxmlformats.org/officeDocument/2006/relationships/hyperlink" Target="http://www.westlaw.com/Find/Default.wl?rs=dfa1.0&amp;vr=2.0&amp;DB=6538&amp;FindType=Y&amp;SerialNum=2006870357" TargetMode="External"/><Relationship Id="rId88" Type="http://schemas.openxmlformats.org/officeDocument/2006/relationships/hyperlink" Target="http://www.westlaw.com/Find/Default.wl?rs=dfa1.0&amp;vr=2.0&amp;DB=506&amp;FindType=Y&amp;SerialNum=2006859555" TargetMode="External"/><Relationship Id="rId89" Type="http://schemas.openxmlformats.org/officeDocument/2006/relationships/hyperlink" Target="http://www.westlaw.com/Find/Default.wl?rs=dfa1.0&amp;vr=2.0&amp;DB=6538&amp;FindType=Y&amp;SerialNum=2006861916" TargetMode="External"/><Relationship Id="rId180" Type="http://schemas.openxmlformats.org/officeDocument/2006/relationships/hyperlink" Target="http://www.westlaw.com/Find/Default.wl?rs=dfa1.0&amp;vr=2.0&amp;DB=6538&amp;FindType=Y&amp;SerialNum=2006448545" TargetMode="External"/><Relationship Id="rId181" Type="http://schemas.openxmlformats.org/officeDocument/2006/relationships/hyperlink" Target="http://www.westlaw.com/Find/Default.wl?rs=dfa1.0&amp;vr=2.0&amp;DB=6538&amp;FindType=Y&amp;SerialNum=2006431820" TargetMode="External"/><Relationship Id="rId182" Type="http://schemas.openxmlformats.org/officeDocument/2006/relationships/hyperlink" Target="http://www.westlaw.com/Find/Default.wl?rs=dfa1.0&amp;vr=2.0&amp;DB=6538&amp;FindType=Y&amp;SerialNum=2006431821" TargetMode="External"/><Relationship Id="rId183" Type="http://schemas.openxmlformats.org/officeDocument/2006/relationships/hyperlink" Target="http://www.westlaw.com/Find/Default.wl?rs=dfa1.0&amp;vr=2.0&amp;DB=6538&amp;FindType=Y&amp;SerialNum=2006431822" TargetMode="External"/><Relationship Id="rId184" Type="http://schemas.openxmlformats.org/officeDocument/2006/relationships/hyperlink" Target="http://www.westlaw.com/Find/Default.wl?rs=dfa1.0&amp;vr=2.0&amp;DB=6538&amp;FindType=Y&amp;SerialNum=2006428321" TargetMode="External"/><Relationship Id="rId185" Type="http://schemas.openxmlformats.org/officeDocument/2006/relationships/hyperlink" Target="http://www.westlaw.com/Find/Default.wl?rs=dfa1.0&amp;vr=2.0&amp;DB=6538&amp;FindType=Y&amp;SerialNum=2006421765" TargetMode="External"/><Relationship Id="rId186" Type="http://schemas.openxmlformats.org/officeDocument/2006/relationships/hyperlink" Target="http://www.westlaw.com/Find/Default.wl?rs=dfa1.0&amp;vr=2.0&amp;DB=6538&amp;FindType=Y&amp;SerialNum=2006419209" TargetMode="External"/><Relationship Id="rId187" Type="http://schemas.openxmlformats.org/officeDocument/2006/relationships/hyperlink" Target="http://www.westlaw.com/Find/Default.wl?rs=dfa1.0&amp;vr=2.0&amp;DB=6538&amp;FindType=Y&amp;SerialNum=2006408695" TargetMode="External"/><Relationship Id="rId188" Type="http://schemas.openxmlformats.org/officeDocument/2006/relationships/hyperlink" Target="http://www.westlaw.com/Find/Default.wl?rs=dfa1.0&amp;vr=2.0&amp;DB=6538&amp;FindType=Y&amp;SerialNum=2006393000" TargetMode="External"/><Relationship Id="rId189" Type="http://schemas.openxmlformats.org/officeDocument/2006/relationships/hyperlink" Target="http://www.westlaw.com/Find/Default.wl?rs=dfa1.0&amp;vr=2.0&amp;DB=6538&amp;FindType=Y&amp;SerialNum=2006393001" TargetMode="External"/><Relationship Id="rId20" Type="http://schemas.openxmlformats.org/officeDocument/2006/relationships/hyperlink" Target="http://www.westlaw.com/Find/Default.wl?rs=dfa1.0&amp;vr=2.0&amp;DB=506&amp;FindType=Y&amp;SerialNum=2007281223" TargetMode="External"/><Relationship Id="rId21" Type="http://schemas.openxmlformats.org/officeDocument/2006/relationships/hyperlink" Target="http://www.westlaw.com/Find/Default.wl?rs=dfa1.0&amp;vr=2.0&amp;DB=506&amp;FindType=Y&amp;SerialNum=2007281232" TargetMode="External"/><Relationship Id="rId22" Type="http://schemas.openxmlformats.org/officeDocument/2006/relationships/hyperlink" Target="http://www.westlaw.com/Find/Default.wl?rs=dfa1.0&amp;vr=2.0&amp;DB=506&amp;FindType=Y&amp;SerialNum=2007276345" TargetMode="External"/><Relationship Id="rId23" Type="http://schemas.openxmlformats.org/officeDocument/2006/relationships/hyperlink" Target="http://www.westlaw.com/Find/Default.wl?rs=dfa1.0&amp;vr=2.0&amp;DB=506&amp;FindType=Y&amp;SerialNum=2007256417" TargetMode="External"/><Relationship Id="rId24" Type="http://schemas.openxmlformats.org/officeDocument/2006/relationships/hyperlink" Target="http://www.westlaw.com/Find/Default.wl?rs=dfa1.0&amp;vr=2.0&amp;DB=506&amp;FindType=Y&amp;SerialNum=2007245806" TargetMode="External"/><Relationship Id="rId25" Type="http://schemas.openxmlformats.org/officeDocument/2006/relationships/hyperlink" Target="http://www.westlaw.com/Find/Default.wl?rs=dfa1.0&amp;vr=2.0&amp;DB=506&amp;FindType=Y&amp;SerialNum=2007239968" TargetMode="External"/><Relationship Id="rId26" Type="http://schemas.openxmlformats.org/officeDocument/2006/relationships/hyperlink" Target="http://www.westlaw.com/Find/Default.wl?rs=dfa1.0&amp;vr=2.0&amp;DB=6538&amp;FindType=Y&amp;SerialNum=2007244734" TargetMode="External"/><Relationship Id="rId27" Type="http://schemas.openxmlformats.org/officeDocument/2006/relationships/hyperlink" Target="http://www.westlaw.com/Find/Default.wl?rs=dfa1.0&amp;vr=2.0&amp;DB=6538&amp;FindType=Y&amp;SerialNum=2007244735" TargetMode="External"/><Relationship Id="rId28" Type="http://schemas.openxmlformats.org/officeDocument/2006/relationships/hyperlink" Target="http://www.westlaw.com/Find/Default.wl?rs=dfa1.0&amp;vr=2.0&amp;DB=6538&amp;FindType=Y&amp;SerialNum=2007244736" TargetMode="External"/><Relationship Id="rId29" Type="http://schemas.openxmlformats.org/officeDocument/2006/relationships/hyperlink" Target="http://www.westlaw.com/Find/Default.wl?rs=dfa1.0&amp;vr=2.0&amp;DB=506&amp;FindType=Y&amp;SerialNum=2007229535" TargetMode="External"/><Relationship Id="rId120" Type="http://schemas.openxmlformats.org/officeDocument/2006/relationships/hyperlink" Target="http://www.westlaw.com/Find/Default.wl?rs=dfa1.0&amp;vr=2.0&amp;DB=6538&amp;FindType=Y&amp;SerialNum=2006742820" TargetMode="External"/><Relationship Id="rId121" Type="http://schemas.openxmlformats.org/officeDocument/2006/relationships/hyperlink" Target="http://www.westlaw.com/Find/Default.wl?rs=dfa1.0&amp;vr=2.0&amp;DB=6538&amp;FindType=Y&amp;SerialNum=2006742821" TargetMode="External"/><Relationship Id="rId122" Type="http://schemas.openxmlformats.org/officeDocument/2006/relationships/hyperlink" Target="http://www.westlaw.com/Find/Default.wl?rs=dfa1.0&amp;vr=2.0&amp;DB=6538&amp;FindType=Y&amp;SerialNum=2006749538" TargetMode="External"/><Relationship Id="rId123" Type="http://schemas.openxmlformats.org/officeDocument/2006/relationships/hyperlink" Target="http://www.westlaw.com/Find/Default.wl?rs=dfa1.0&amp;vr=2.0&amp;DB=6538&amp;FindType=Y&amp;SerialNum=2006739476" TargetMode="External"/><Relationship Id="rId124" Type="http://schemas.openxmlformats.org/officeDocument/2006/relationships/hyperlink" Target="http://www.westlaw.com/Find/Default.wl?rs=dfa1.0&amp;vr=2.0&amp;DB=6538&amp;FindType=Y&amp;SerialNum=2006742644" TargetMode="External"/><Relationship Id="rId125" Type="http://schemas.openxmlformats.org/officeDocument/2006/relationships/hyperlink" Target="http://www.westlaw.com/Find/Default.wl?rs=dfa1.0&amp;vr=2.0&amp;DB=6538&amp;FindType=Y&amp;SerialNum=2006742645" TargetMode="External"/><Relationship Id="rId126" Type="http://schemas.openxmlformats.org/officeDocument/2006/relationships/hyperlink" Target="http://www.westlaw.com/Find/Default.wl?rs=dfa1.0&amp;vr=2.0&amp;DB=506&amp;FindType=Y&amp;SerialNum=2006720501" TargetMode="External"/><Relationship Id="rId127" Type="http://schemas.openxmlformats.org/officeDocument/2006/relationships/hyperlink" Target="http://www.westlaw.com/Find/Default.wl?rs=dfa1.0&amp;vr=2.0&amp;DB=6538&amp;FindType=Y&amp;SerialNum=2006739475" TargetMode="External"/><Relationship Id="rId128" Type="http://schemas.openxmlformats.org/officeDocument/2006/relationships/hyperlink" Target="http://www.westlaw.com/Find/Default.wl?rs=dfa1.0&amp;vr=2.0&amp;DB=6538&amp;FindType=Y&amp;SerialNum=2006711805" TargetMode="External"/><Relationship Id="rId129" Type="http://schemas.openxmlformats.org/officeDocument/2006/relationships/hyperlink" Target="http://www.westlaw.com/Find/Default.wl?rs=dfa1.0&amp;vr=2.0&amp;DB=6538&amp;FindType=Y&amp;SerialNum=2006676547" TargetMode="External"/><Relationship Id="rId210" Type="http://schemas.openxmlformats.org/officeDocument/2006/relationships/hyperlink" Target="http://www.westlaw.com/Find/Default.wl?rs=dfa1.0&amp;vr=2.0&amp;DB=6538&amp;FindType=Y&amp;SerialNum=2006236424" TargetMode="External"/><Relationship Id="rId211" Type="http://schemas.openxmlformats.org/officeDocument/2006/relationships/hyperlink" Target="http://www.westlaw.com/Find/Default.wl?rs=dfa1.0&amp;vr=2.0&amp;DB=6538&amp;FindType=Y&amp;SerialNum=2006236425" TargetMode="External"/><Relationship Id="rId212" Type="http://schemas.openxmlformats.org/officeDocument/2006/relationships/hyperlink" Target="http://www.westlaw.com/Find/Default.wl?rs=dfa1.0&amp;vr=2.0&amp;DB=506&amp;FindType=Y&amp;SerialNum=2006192642" TargetMode="External"/><Relationship Id="rId213" Type="http://schemas.openxmlformats.org/officeDocument/2006/relationships/hyperlink" Target="http://www.westlaw.com/Find/Default.wl?rs=dfa1.0&amp;vr=2.0&amp;DB=6538&amp;FindType=Y&amp;SerialNum=2006174343" TargetMode="External"/><Relationship Id="rId214" Type="http://schemas.openxmlformats.org/officeDocument/2006/relationships/hyperlink" Target="http://www.westlaw.com/Find/Default.wl?rs=dfa1.0&amp;vr=2.0&amp;DB=6538&amp;FindType=Y&amp;SerialNum=2006174353" TargetMode="External"/><Relationship Id="rId215" Type="http://schemas.openxmlformats.org/officeDocument/2006/relationships/hyperlink" Target="http://www.westlaw.com/Find/Default.wl?rs=dfa1.0&amp;vr=2.0&amp;DB=6538&amp;FindType=Y&amp;SerialNum=2006167460" TargetMode="External"/><Relationship Id="rId216" Type="http://schemas.openxmlformats.org/officeDocument/2006/relationships/hyperlink" Target="http://www.westlaw.com/Find/Default.wl?rs=dfa1.0&amp;vr=2.0&amp;DB=6538&amp;FindType=Y&amp;SerialNum=2006168874" TargetMode="External"/><Relationship Id="rId217" Type="http://schemas.openxmlformats.org/officeDocument/2006/relationships/hyperlink" Target="http://www.westlaw.com/Find/Default.wl?rs=dfa1.0&amp;vr=2.0&amp;DB=6538&amp;FindType=Y&amp;SerialNum=2006147211" TargetMode="External"/><Relationship Id="rId218" Type="http://schemas.openxmlformats.org/officeDocument/2006/relationships/hyperlink" Target="http://www.westlaw.com/Find/Default.wl?rs=dfa1.0&amp;vr=2.0&amp;DB=6538&amp;FindType=Y&amp;SerialNum=2006145249" TargetMode="External"/><Relationship Id="rId219" Type="http://schemas.openxmlformats.org/officeDocument/2006/relationships/hyperlink" Target="http://www.westlaw.com/Find/Default.wl?rs=dfa1.0&amp;vr=2.0&amp;DB=6538&amp;FindType=Y&amp;SerialNum=2006116110" TargetMode="External"/><Relationship Id="rId90" Type="http://schemas.openxmlformats.org/officeDocument/2006/relationships/hyperlink" Target="http://www.westlaw.com/Find/Default.wl?rs=dfa1.0&amp;vr=2.0&amp;DB=6538&amp;FindType=Y&amp;SerialNum=2006861918" TargetMode="External"/><Relationship Id="rId91" Type="http://schemas.openxmlformats.org/officeDocument/2006/relationships/hyperlink" Target="http://www.westlaw.com/Find/Default.wl?rs=dfa1.0&amp;vr=2.0&amp;DB=6538&amp;FindType=Y&amp;SerialNum=2006846090" TargetMode="External"/><Relationship Id="rId92" Type="http://schemas.openxmlformats.org/officeDocument/2006/relationships/hyperlink" Target="http://www.westlaw.com/Find/Default.wl?rs=dfa1.0&amp;vr=2.0&amp;DB=6538&amp;FindType=Y&amp;SerialNum=2006850998" TargetMode="External"/><Relationship Id="rId93" Type="http://schemas.openxmlformats.org/officeDocument/2006/relationships/hyperlink" Target="http://www.westlaw.com/Find/Default.wl?rs=dfa1.0&amp;vr=2.0&amp;DB=6538&amp;FindType=Y&amp;SerialNum=2006850999" TargetMode="External"/><Relationship Id="rId94" Type="http://schemas.openxmlformats.org/officeDocument/2006/relationships/hyperlink" Target="http://www.westlaw.com/Find/Default.wl?rs=dfa1.0&amp;vr=2.0&amp;DB=6538&amp;FindType=Y&amp;SerialNum=2006825966" TargetMode="External"/><Relationship Id="rId95" Type="http://schemas.openxmlformats.org/officeDocument/2006/relationships/hyperlink" Target="http://www.westlaw.com/Find/Default.wl?rs=dfa1.0&amp;vr=2.0&amp;DB=6538&amp;FindType=Y&amp;SerialNum=2006823215" TargetMode="External"/><Relationship Id="rId96" Type="http://schemas.openxmlformats.org/officeDocument/2006/relationships/hyperlink" Target="http://www.westlaw.com/Find/Default.wl?rs=dfa1.0&amp;vr=2.0&amp;DB=6538&amp;FindType=Y&amp;SerialNum=2006823740" TargetMode="External"/><Relationship Id="rId97" Type="http://schemas.openxmlformats.org/officeDocument/2006/relationships/hyperlink" Target="http://www.westlaw.com/Find/Default.wl?rs=dfa1.0&amp;vr=2.0&amp;DB=506&amp;FindType=Y&amp;SerialNum=2006804267" TargetMode="External"/><Relationship Id="rId98" Type="http://schemas.openxmlformats.org/officeDocument/2006/relationships/hyperlink" Target="http://www.westlaw.com/Find/Default.wl?rs=dfa1.0&amp;vr=2.0&amp;DB=6538&amp;FindType=Y&amp;SerialNum=2006802790" TargetMode="External"/><Relationship Id="rId99" Type="http://schemas.openxmlformats.org/officeDocument/2006/relationships/hyperlink" Target="http://www.westlaw.com/Find/Default.wl?rs=dfa1.0&amp;vr=2.0&amp;DB=6538&amp;FindType=Y&amp;SerialNum=2006802791" TargetMode="External"/><Relationship Id="rId190" Type="http://schemas.openxmlformats.org/officeDocument/2006/relationships/hyperlink" Target="http://www.westlaw.com/Find/Default.wl?rs=dfa1.0&amp;vr=2.0&amp;DB=506&amp;FindType=Y&amp;SerialNum=2006379357" TargetMode="External"/><Relationship Id="rId191" Type="http://schemas.openxmlformats.org/officeDocument/2006/relationships/hyperlink" Target="http://www.westlaw.com/Find/Default.wl?rs=dfa1.0&amp;vr=2.0&amp;DB=6538&amp;FindType=Y&amp;SerialNum=2006373444" TargetMode="External"/><Relationship Id="rId192" Type="http://schemas.openxmlformats.org/officeDocument/2006/relationships/hyperlink" Target="http://www.westlaw.com/Find/Default.wl?rs=dfa1.0&amp;vr=2.0&amp;DB=6538&amp;FindType=Y&amp;SerialNum=2006373445" TargetMode="External"/><Relationship Id="rId193" Type="http://schemas.openxmlformats.org/officeDocument/2006/relationships/hyperlink" Target="http://www.westlaw.com/Find/Default.wl?rs=dfa1.0&amp;vr=2.0&amp;DB=6538&amp;FindType=Y&amp;SerialNum=2006365984" TargetMode="External"/><Relationship Id="rId194" Type="http://schemas.openxmlformats.org/officeDocument/2006/relationships/hyperlink" Target="http://www.westlaw.com/Find/Default.wl?rs=dfa1.0&amp;vr=2.0&amp;DB=506&amp;FindType=Y&amp;SerialNum=2006361581" TargetMode="External"/><Relationship Id="rId195" Type="http://schemas.openxmlformats.org/officeDocument/2006/relationships/hyperlink" Target="http://www.westlaw.com/Find/Default.wl?rs=dfa1.0&amp;vr=2.0&amp;DB=6538&amp;FindType=Y&amp;SerialNum=2006351317" TargetMode="External"/><Relationship Id="rId196" Type="http://schemas.openxmlformats.org/officeDocument/2006/relationships/hyperlink" Target="http://www.westlaw.com/Find/Default.wl?rs=dfa1.0&amp;vr=2.0&amp;DB=6538&amp;FindType=Y&amp;SerialNum=2006339349" TargetMode="External"/><Relationship Id="rId197" Type="http://schemas.openxmlformats.org/officeDocument/2006/relationships/hyperlink" Target="http://www.westlaw.com/Find/Default.wl?rs=dfa1.0&amp;vr=2.0&amp;DB=6538&amp;FindType=Y&amp;SerialNum=2006339634" TargetMode="External"/><Relationship Id="rId198" Type="http://schemas.openxmlformats.org/officeDocument/2006/relationships/hyperlink" Target="http://www.westlaw.com/Find/Default.wl?rs=dfa1.0&amp;vr=2.0&amp;DB=6538&amp;FindType=Y&amp;SerialNum=2006332061" TargetMode="External"/><Relationship Id="rId199" Type="http://schemas.openxmlformats.org/officeDocument/2006/relationships/hyperlink" Target="http://www.westlaw.com/Find/Default.wl?rs=dfa1.0&amp;vr=2.0&amp;DB=6538&amp;FindType=Y&amp;SerialNum=2006339223" TargetMode="External"/><Relationship Id="rId30" Type="http://schemas.openxmlformats.org/officeDocument/2006/relationships/hyperlink" Target="http://www.westlaw.com/Find/Default.wl?rs=dfa1.0&amp;vr=2.0&amp;DB=506&amp;FindType=Y&amp;SerialNum=2007205053" TargetMode="External"/><Relationship Id="rId31" Type="http://schemas.openxmlformats.org/officeDocument/2006/relationships/hyperlink" Target="http://www.westlaw.com/Find/Default.wl?rs=dfa1.0&amp;vr=2.0&amp;DB=6538&amp;FindType=Y&amp;SerialNum=2007213970" TargetMode="External"/><Relationship Id="rId32" Type="http://schemas.openxmlformats.org/officeDocument/2006/relationships/hyperlink" Target="http://www.westlaw.com/Find/Default.wl?rs=dfa1.0&amp;vr=2.0&amp;DB=506&amp;FindType=Y&amp;SerialNum=2007182468" TargetMode="External"/><Relationship Id="rId33" Type="http://schemas.openxmlformats.org/officeDocument/2006/relationships/hyperlink" Target="http://www.westlaw.com/Find/Default.wl?rs=dfa1.0&amp;vr=2.0&amp;DB=506&amp;FindType=Y&amp;SerialNum=2007182470" TargetMode="External"/><Relationship Id="rId34" Type="http://schemas.openxmlformats.org/officeDocument/2006/relationships/hyperlink" Target="http://www.westlaw.com/Find/Default.wl?rs=dfa1.0&amp;vr=2.0&amp;DB=506&amp;FindType=Y&amp;SerialNum=2007143166" TargetMode="External"/><Relationship Id="rId35" Type="http://schemas.openxmlformats.org/officeDocument/2006/relationships/hyperlink" Target="http://www.westlaw.com/Find/Default.wl?rs=dfa1.0&amp;vr=2.0&amp;DB=6538&amp;FindType=Y&amp;SerialNum=2007136466" TargetMode="External"/><Relationship Id="rId36" Type="http://schemas.openxmlformats.org/officeDocument/2006/relationships/hyperlink" Target="http://www.westlaw.com/Find/Default.wl?rs=dfa1.0&amp;vr=2.0&amp;DB=506&amp;FindType=Y&amp;SerialNum=2007113658" TargetMode="External"/><Relationship Id="rId37" Type="http://schemas.openxmlformats.org/officeDocument/2006/relationships/hyperlink" Target="http://www.westlaw.com/Find/Default.wl?rs=dfa1.0&amp;vr=2.0&amp;DB=506&amp;FindType=Y&amp;SerialNum=2007113829" TargetMode="External"/><Relationship Id="rId38" Type="http://schemas.openxmlformats.org/officeDocument/2006/relationships/hyperlink" Target="http://www.westlaw.com/Find/Default.wl?rs=dfa1.0&amp;vr=2.0&amp;DB=6538&amp;FindType=Y&amp;SerialNum=2007123773" TargetMode="External"/><Relationship Id="rId39" Type="http://schemas.openxmlformats.org/officeDocument/2006/relationships/hyperlink" Target="http://www.westlaw.com/Find/Default.wl?rs=dfa1.0&amp;vr=2.0&amp;DB=6538&amp;FindType=Y&amp;SerialNum=2007112429" TargetMode="External"/><Relationship Id="rId130" Type="http://schemas.openxmlformats.org/officeDocument/2006/relationships/hyperlink" Target="http://www.westlaw.com/Find/Default.wl?rs=dfa1.0&amp;vr=2.0&amp;DB=6538&amp;FindType=Y&amp;SerialNum=2006665886" TargetMode="External"/><Relationship Id="rId131" Type="http://schemas.openxmlformats.org/officeDocument/2006/relationships/hyperlink" Target="http://www.westlaw.com/Find/Default.wl?rs=dfa1.0&amp;vr=2.0&amp;DB=6538&amp;FindType=Y&amp;SerialNum=2006665887" TargetMode="External"/><Relationship Id="rId132" Type="http://schemas.openxmlformats.org/officeDocument/2006/relationships/hyperlink" Target="http://www.westlaw.com/Find/Default.wl?rs=dfa1.0&amp;vr=2.0&amp;DB=6538&amp;FindType=Y&amp;SerialNum=2006659016" TargetMode="External"/><Relationship Id="rId133" Type="http://schemas.openxmlformats.org/officeDocument/2006/relationships/hyperlink" Target="http://www.westlaw.com/Find/Default.wl?rs=dfa1.0&amp;vr=2.0&amp;DB=6538&amp;FindType=Y&amp;SerialNum=2006611721" TargetMode="External"/><Relationship Id="rId220" Type="http://schemas.openxmlformats.org/officeDocument/2006/relationships/hyperlink" Target="http://www.westlaw.com/Find/Default.wl?rs=dfa1.0&amp;vr=2.0&amp;DB=506&amp;FindType=Y&amp;SerialNum=2006065785" TargetMode="External"/><Relationship Id="rId221" Type="http://schemas.openxmlformats.org/officeDocument/2006/relationships/hyperlink" Target="http://www.westlaw.com/Find/Default.wl?rs=dfa1.0&amp;vr=2.0&amp;DB=6538&amp;FindType=Y&amp;SerialNum=2007049972" TargetMode="External"/><Relationship Id="rId222" Type="http://schemas.openxmlformats.org/officeDocument/2006/relationships/hyperlink" Target="http://www.westlaw.com/Find/Default.wl?rs=dfa1.0&amp;vr=2.0&amp;DB=6538&amp;FindType=Y&amp;SerialNum=2005980364" TargetMode="External"/><Relationship Id="rId223" Type="http://schemas.openxmlformats.org/officeDocument/2006/relationships/hyperlink" Target="http://www.westlaw.com/Find/Default.wl?rs=dfa1.0&amp;vr=2.0&amp;FindType=Y&amp;SerialNum=2006539492" TargetMode="External"/><Relationship Id="rId224" Type="http://schemas.openxmlformats.org/officeDocument/2006/relationships/hyperlink" Target="http://www.westlaw.com/Find/Default.wl?rs=dfa1.0&amp;vr=2.0&amp;DB=6538&amp;FindType=Y&amp;SerialNum=2005908228" TargetMode="External"/><Relationship Id="rId225" Type="http://schemas.openxmlformats.org/officeDocument/2006/relationships/hyperlink" Target="http://www.westlaw.com/Find/Default.wl?rs=dfa1.0&amp;vr=2.0&amp;DB=6538&amp;FindType=Y&amp;SerialNum=2005883647" TargetMode="External"/><Relationship Id="rId226" Type="http://schemas.openxmlformats.org/officeDocument/2006/relationships/hyperlink" Target="http://www.westlaw.com/Find/Default.wl?rs=dfa1.0&amp;vr=2.0&amp;DB=506&amp;FindType=Y&amp;SerialNum=2005812820" TargetMode="External"/><Relationship Id="rId227" Type="http://schemas.openxmlformats.org/officeDocument/2006/relationships/hyperlink" Target="http://www.westlaw.com/Find/Default.wl?rs=dfa1.0&amp;vr=2.0&amp;DB=6538&amp;FindType=Y&amp;SerialNum=2005781878" TargetMode="External"/><Relationship Id="rId228" Type="http://schemas.openxmlformats.org/officeDocument/2006/relationships/hyperlink" Target="http://www.westlaw.com/Find/Default.wl?rs=dfa1.0&amp;vr=2.0&amp;DB=506&amp;FindType=Y&amp;SerialNum=2005781290" TargetMode="External"/><Relationship Id="rId229" Type="http://schemas.openxmlformats.org/officeDocument/2006/relationships/hyperlink" Target="http://www.westlaw.com/Find/Default.wl?rs=dfa1.0&amp;vr=2.0&amp;DB=6538&amp;FindType=Y&amp;SerialNum=2005781877" TargetMode="External"/><Relationship Id="rId134" Type="http://schemas.openxmlformats.org/officeDocument/2006/relationships/hyperlink" Target="http://www.westlaw.com/Find/Default.wl?rs=dfa1.0&amp;vr=2.0&amp;DB=6538&amp;FindType=Y&amp;SerialNum=2006604206" TargetMode="External"/><Relationship Id="rId135" Type="http://schemas.openxmlformats.org/officeDocument/2006/relationships/hyperlink" Target="http://www.westlaw.com/Find/Default.wl?rs=dfa1.0&amp;vr=2.0&amp;DB=6538&amp;FindType=Y&amp;SerialNum=2006604928" TargetMode="External"/><Relationship Id="rId136" Type="http://schemas.openxmlformats.org/officeDocument/2006/relationships/hyperlink" Target="http://www.westlaw.com/Find/Default.wl?rs=dfa1.0&amp;vr=2.0&amp;DB=6538&amp;FindType=Y&amp;SerialNum=2006604929" TargetMode="External"/><Relationship Id="rId137" Type="http://schemas.openxmlformats.org/officeDocument/2006/relationships/hyperlink" Target="http://www.westlaw.com/Find/Default.wl?rs=dfa1.0&amp;vr=2.0&amp;DB=6538&amp;FindType=Y&amp;SerialNum=2006596774" TargetMode="External"/><Relationship Id="rId138" Type="http://schemas.openxmlformats.org/officeDocument/2006/relationships/hyperlink" Target="http://www.westlaw.com/Find/Default.wl?rs=dfa1.0&amp;vr=2.0&amp;DB=6538&amp;FindType=Y&amp;SerialNum=2006586613" TargetMode="External"/><Relationship Id="rId139" Type="http://schemas.openxmlformats.org/officeDocument/2006/relationships/hyperlink" Target="http://www.westlaw.com/Find/Default.wl?rs=dfa1.0&amp;vr=2.0&amp;DB=6538&amp;FindType=Y&amp;SerialNum=2006586616" TargetMode="External"/><Relationship Id="rId40" Type="http://schemas.openxmlformats.org/officeDocument/2006/relationships/hyperlink" Target="http://www.westlaw.com/Find/Default.wl?rs=dfa1.0&amp;vr=2.0&amp;DB=6538&amp;FindType=Y&amp;SerialNum=2007112430" TargetMode="External"/><Relationship Id="rId41" Type="http://schemas.openxmlformats.org/officeDocument/2006/relationships/hyperlink" Target="http://www.westlaw.com/Find/Default.wl?rs=dfa1.0&amp;vr=2.0&amp;DB=6538&amp;FindType=Y&amp;SerialNum=2007112432" TargetMode="External"/><Relationship Id="rId42" Type="http://schemas.openxmlformats.org/officeDocument/2006/relationships/hyperlink" Target="http://www.westlaw.com/Find/Default.wl?rs=dfa1.0&amp;vr=2.0&amp;DB=506&amp;FindType=Y&amp;SerialNum=2007097953" TargetMode="External"/><Relationship Id="rId43" Type="http://schemas.openxmlformats.org/officeDocument/2006/relationships/hyperlink" Target="http://www.westlaw.com/Find/Default.wl?rs=dfa1.0&amp;vr=2.0&amp;DB=6538&amp;FindType=Y&amp;SerialNum=2007103280" TargetMode="External"/><Relationship Id="rId44" Type="http://schemas.openxmlformats.org/officeDocument/2006/relationships/hyperlink" Target="http://www.westlaw.com/Find/Default.wl?rs=dfa1.0&amp;vr=2.0&amp;DB=6538&amp;FindType=Y&amp;SerialNum=2007096584" TargetMode="External"/><Relationship Id="rId45" Type="http://schemas.openxmlformats.org/officeDocument/2006/relationships/hyperlink" Target="http://www.westlaw.com/Find/Default.wl?rs=dfa1.0&amp;vr=2.0&amp;DB=6538&amp;FindType=Y&amp;SerialNum=2007084139" TargetMode="External"/><Relationship Id="rId46" Type="http://schemas.openxmlformats.org/officeDocument/2006/relationships/hyperlink" Target="http://www.westlaw.com/Find/Default.wl?rs=dfa1.0&amp;vr=2.0&amp;DB=6538&amp;FindType=Y&amp;SerialNum=2007084140" TargetMode="External"/><Relationship Id="rId47" Type="http://schemas.openxmlformats.org/officeDocument/2006/relationships/hyperlink" Target="http://www.westlaw.com/Find/Default.wl?rs=dfa1.0&amp;vr=2.0&amp;DB=6538&amp;FindType=Y&amp;SerialNum=2007084142" TargetMode="External"/><Relationship Id="rId48" Type="http://schemas.openxmlformats.org/officeDocument/2006/relationships/hyperlink" Target="http://www.westlaw.com/Find/Default.wl?rs=dfa1.0&amp;vr=2.0&amp;DB=6538&amp;FindType=Y&amp;SerialNum=2007084143" TargetMode="External"/><Relationship Id="rId49" Type="http://schemas.openxmlformats.org/officeDocument/2006/relationships/hyperlink" Target="http://www.westlaw.com/Find/Default.wl?rs=dfa1.0&amp;vr=2.0&amp;DB=6538&amp;FindType=Y&amp;SerialNum=2007084763" TargetMode="External"/><Relationship Id="rId140" Type="http://schemas.openxmlformats.org/officeDocument/2006/relationships/hyperlink" Target="http://www.westlaw.com/Find/Default.wl?rs=dfa1.0&amp;vr=2.0&amp;DB=6538&amp;FindType=Y&amp;SerialNum=2006586618" TargetMode="External"/><Relationship Id="rId141" Type="http://schemas.openxmlformats.org/officeDocument/2006/relationships/hyperlink" Target="http://www.westlaw.com/Find/Default.wl?rs=dfa1.0&amp;vr=2.0&amp;DB=6538&amp;FindType=Y&amp;SerialNum=2006587466" TargetMode="External"/><Relationship Id="rId142" Type="http://schemas.openxmlformats.org/officeDocument/2006/relationships/hyperlink" Target="http://www.westlaw.com/Find/Default.wl?rs=dfa1.0&amp;vr=2.0&amp;DB=6538&amp;FindType=Y&amp;SerialNum=2006574291" TargetMode="External"/><Relationship Id="rId143" Type="http://schemas.openxmlformats.org/officeDocument/2006/relationships/hyperlink" Target="http://www.westlaw.com/Find/Default.wl?rs=dfa1.0&amp;vr=2.0&amp;DB=6538&amp;FindType=Y&amp;SerialNum=2006579168" TargetMode="External"/><Relationship Id="rId144" Type="http://schemas.openxmlformats.org/officeDocument/2006/relationships/hyperlink" Target="http://www.westlaw.com/Find/Default.wl?rs=dfa1.0&amp;vr=2.0&amp;DB=6538&amp;FindType=Y&amp;SerialNum=2006579169" TargetMode="External"/><Relationship Id="rId145" Type="http://schemas.openxmlformats.org/officeDocument/2006/relationships/hyperlink" Target="http://www.westlaw.com/Find/Default.wl?rs=dfa1.0&amp;vr=2.0&amp;DB=6538&amp;FindType=Y&amp;SerialNum=2006579170" TargetMode="External"/><Relationship Id="rId146" Type="http://schemas.openxmlformats.org/officeDocument/2006/relationships/hyperlink" Target="http://www.westlaw.com/Find/Default.wl?rs=dfa1.0&amp;vr=2.0&amp;DB=6538&amp;FindType=Y&amp;SerialNum=2006567338" TargetMode="External"/><Relationship Id="rId147" Type="http://schemas.openxmlformats.org/officeDocument/2006/relationships/hyperlink" Target="http://www.westlaw.com/Find/Default.wl?rs=dfa1.0&amp;vr=2.0&amp;DB=6538&amp;FindType=Y&amp;SerialNum=2006564246" TargetMode="External"/><Relationship Id="rId148" Type="http://schemas.openxmlformats.org/officeDocument/2006/relationships/hyperlink" Target="http://www.westlaw.com/Find/Default.wl?rs=dfa1.0&amp;vr=2.0&amp;DB=6538&amp;FindType=Y&amp;SerialNum=2006564247" TargetMode="External"/><Relationship Id="rId149" Type="http://schemas.openxmlformats.org/officeDocument/2006/relationships/hyperlink" Target="http://www.westlaw.com/Find/Default.wl?rs=dfa1.0&amp;vr=2.0&amp;DB=6538&amp;FindType=Y&amp;SerialNum=2006551500" TargetMode="External"/><Relationship Id="rId230" Type="http://schemas.openxmlformats.org/officeDocument/2006/relationships/hyperlink" Target="http://www.westlaw.com/Find/Default.wl?rs=dfa1.0&amp;vr=2.0&amp;DB=6538&amp;FindType=Y&amp;SerialNum=2005781882" TargetMode="External"/><Relationship Id="rId231" Type="http://schemas.openxmlformats.org/officeDocument/2006/relationships/hyperlink" Target="http://www.westlaw.com/Find/Default.wl?rs=dfa1.0&amp;vr=2.0&amp;DB=6538&amp;FindType=Y&amp;SerialNum=2005747158" TargetMode="External"/><Relationship Id="rId232" Type="http://schemas.openxmlformats.org/officeDocument/2006/relationships/hyperlink" Target="http://www.westlaw.com/Find/Default.wl?rs=dfa1.0&amp;vr=2.0&amp;DB=6538&amp;FindType=Y&amp;SerialNum=2005747159" TargetMode="External"/><Relationship Id="rId233" Type="http://schemas.openxmlformats.org/officeDocument/2006/relationships/hyperlink" Target="http://www.westlaw.com/Find/Default.wl?rs=dfa1.0&amp;vr=2.0&amp;DB=6538&amp;FindType=Y&amp;SerialNum=2005701592" TargetMode="External"/><Relationship Id="rId234" Type="http://schemas.openxmlformats.org/officeDocument/2006/relationships/hyperlink" Target="http://www.westlaw.com/Find/Default.wl?rs=dfa1.0&amp;vr=2.0&amp;DB=6538&amp;FindType=Y&amp;SerialNum=2005697693" TargetMode="External"/><Relationship Id="rId235" Type="http://schemas.openxmlformats.org/officeDocument/2006/relationships/hyperlink" Target="http://www.westlaw.com/Find/Default.wl?rs=dfa1.0&amp;vr=2.0&amp;DB=6538&amp;FindType=Y&amp;SerialNum=2005697697" TargetMode="External"/><Relationship Id="rId236" Type="http://schemas.openxmlformats.org/officeDocument/2006/relationships/hyperlink" Target="http://www.westlaw.com/Find/Default.wl?rs=dfa1.0&amp;vr=2.0&amp;DB=506&amp;FindType=Y&amp;SerialNum=2005671794" TargetMode="External"/><Relationship Id="rId237" Type="http://schemas.openxmlformats.org/officeDocument/2006/relationships/hyperlink" Target="http://www.westlaw.com/Find/Default.wl?rs=dfa1.0&amp;vr=2.0&amp;DB=6538&amp;FindType=Y&amp;SerialNum=2005672461" TargetMode="External"/><Relationship Id="rId238" Type="http://schemas.openxmlformats.org/officeDocument/2006/relationships/hyperlink" Target="http://www.westlaw.com/Find/Default.wl?rs=dfa1.0&amp;vr=2.0&amp;DB=6538&amp;FindType=Y&amp;SerialNum=2005583559" TargetMode="External"/><Relationship Id="rId239" Type="http://schemas.openxmlformats.org/officeDocument/2006/relationships/hyperlink" Target="http://www.westlaw.com/Find/Default.wl?rs=dfa1.0&amp;vr=2.0&amp;DB=506&amp;FindType=Y&amp;SerialNum=2005413407" TargetMode="External"/><Relationship Id="rId50" Type="http://schemas.openxmlformats.org/officeDocument/2006/relationships/hyperlink" Target="http://www.westlaw.com/Find/Default.wl?rs=dfa1.0&amp;vr=2.0&amp;DB=6538&amp;FindType=Y&amp;SerialNum=2007084783" TargetMode="External"/><Relationship Id="rId51" Type="http://schemas.openxmlformats.org/officeDocument/2006/relationships/hyperlink" Target="http://www.westlaw.com/Find/Default.wl?rs=dfa1.0&amp;vr=2.0&amp;DB=6538&amp;FindType=Y&amp;SerialNum=2007084882" TargetMode="External"/><Relationship Id="rId52" Type="http://schemas.openxmlformats.org/officeDocument/2006/relationships/hyperlink" Target="http://www.westlaw.com/Find/Default.wl?rs=dfa1.0&amp;vr=2.0&amp;DB=6538&amp;FindType=Y&amp;SerialNum=2007084883" TargetMode="External"/><Relationship Id="rId53" Type="http://schemas.openxmlformats.org/officeDocument/2006/relationships/hyperlink" Target="http://www.westlaw.com/Find/Default.wl?rs=dfa1.0&amp;vr=2.0&amp;DB=6538&amp;FindType=Y&amp;SerialNum=2007066434" TargetMode="External"/><Relationship Id="rId54" Type="http://schemas.openxmlformats.org/officeDocument/2006/relationships/hyperlink" Target="http://www.westlaw.com/Find/Default.wl?rs=dfa1.0&amp;vr=2.0&amp;DB=6538&amp;FindType=Y&amp;SerialNum=2007066435" TargetMode="External"/><Relationship Id="rId55" Type="http://schemas.openxmlformats.org/officeDocument/2006/relationships/hyperlink" Target="http://www.westlaw.com/Find/Default.wl?rs=dfa1.0&amp;vr=2.0&amp;DB=6538&amp;FindType=Y&amp;SerialNum=2007066436" TargetMode="External"/><Relationship Id="rId56" Type="http://schemas.openxmlformats.org/officeDocument/2006/relationships/hyperlink" Target="http://www.westlaw.com/Find/Default.wl?rs=dfa1.0&amp;vr=2.0&amp;DB=6538&amp;FindType=Y&amp;SerialNum=2007066439" TargetMode="External"/><Relationship Id="rId57" Type="http://schemas.openxmlformats.org/officeDocument/2006/relationships/hyperlink" Target="http://www.westlaw.com/Find/Default.wl?rs=dfa1.0&amp;vr=2.0&amp;DB=6538&amp;FindType=Y&amp;SerialNum=2007066440" TargetMode="External"/><Relationship Id="rId58" Type="http://schemas.openxmlformats.org/officeDocument/2006/relationships/hyperlink" Target="http://www.westlaw.com/Find/Default.wl?rs=dfa1.0&amp;vr=2.0&amp;DB=6538&amp;FindType=Y&amp;SerialNum=2007066441" TargetMode="External"/><Relationship Id="rId59" Type="http://schemas.openxmlformats.org/officeDocument/2006/relationships/hyperlink" Target="http://www.westlaw.com/Find/Default.wl?rs=dfa1.0&amp;vr=2.0&amp;DB=506&amp;FindType=Y&amp;SerialNum=2007061146" TargetMode="External"/><Relationship Id="rId150" Type="http://schemas.openxmlformats.org/officeDocument/2006/relationships/hyperlink" Target="http://www.westlaw.com/Find/Default.wl?rs=dfa1.0&amp;vr=2.0&amp;DB=6538&amp;FindType=Y&amp;SerialNum=2006544256" TargetMode="External"/><Relationship Id="rId151" Type="http://schemas.openxmlformats.org/officeDocument/2006/relationships/hyperlink" Target="http://www.westlaw.com/Find/Default.wl?rs=dfa1.0&amp;vr=2.0&amp;DB=6538&amp;FindType=Y&amp;SerialNum=2006537030" TargetMode="External"/><Relationship Id="rId152" Type="http://schemas.openxmlformats.org/officeDocument/2006/relationships/hyperlink" Target="http://www.westlaw.com/Find/Default.wl?rs=dfa1.0&amp;vr=2.0&amp;DB=506&amp;FindType=Y&amp;SerialNum=2006525405" TargetMode="External"/><Relationship Id="rId153" Type="http://schemas.openxmlformats.org/officeDocument/2006/relationships/hyperlink" Target="http://www.westlaw.com/Find/Default.wl?rs=dfa1.0&amp;vr=2.0&amp;DB=6538&amp;FindType=Y&amp;SerialNum=2006522724" TargetMode="External"/><Relationship Id="rId154" Type="http://schemas.openxmlformats.org/officeDocument/2006/relationships/hyperlink" Target="http://www.westlaw.com/Find/Default.wl?rs=dfa1.0&amp;vr=2.0&amp;DB=6538&amp;FindType=Y&amp;SerialNum=2006522726" TargetMode="External"/><Relationship Id="rId155" Type="http://schemas.openxmlformats.org/officeDocument/2006/relationships/hyperlink" Target="http://www.westlaw.com/Find/Default.wl?rs=dfa1.0&amp;vr=2.0&amp;DB=6538&amp;FindType=Y&amp;SerialNum=2006524066" TargetMode="External"/><Relationship Id="rId156" Type="http://schemas.openxmlformats.org/officeDocument/2006/relationships/hyperlink" Target="http://www.westlaw.com/Find/Default.wl?rs=dfa1.0&amp;vr=2.0&amp;DB=6538&amp;FindType=Y&amp;SerialNum=2006521795" TargetMode="External"/><Relationship Id="rId157" Type="http://schemas.openxmlformats.org/officeDocument/2006/relationships/hyperlink" Target="http://www.westlaw.com/Find/Default.wl?rs=dfa1.0&amp;vr=2.0&amp;DB=6538&amp;FindType=Y&amp;SerialNum=2006519563" TargetMode="External"/><Relationship Id="rId158" Type="http://schemas.openxmlformats.org/officeDocument/2006/relationships/hyperlink" Target="http://www.westlaw.com/Find/Default.wl?rs=dfa1.0&amp;vr=2.0&amp;DB=6538&amp;FindType=Y&amp;SerialNum=2006519564" TargetMode="External"/><Relationship Id="rId159" Type="http://schemas.openxmlformats.org/officeDocument/2006/relationships/hyperlink" Target="http://www.westlaw.com/Find/Default.wl?rs=dfa1.0&amp;vr=2.0&amp;DB=6538&amp;FindType=Y&amp;SerialNum=2006519565" TargetMode="External"/><Relationship Id="rId240" Type="http://schemas.openxmlformats.org/officeDocument/2006/relationships/hyperlink" Target="http://www.westlaw.com/Find/Default.wl?rs=dfa1.0&amp;vr=2.0&amp;DB=506&amp;FindType=Y&amp;SerialNum=2005342683" TargetMode="External"/><Relationship Id="rId241" Type="http://schemas.openxmlformats.org/officeDocument/2006/relationships/hyperlink" Target="http://www.westlaw.com/Find/Default.wl?rs=dfa1.0&amp;vr=2.0&amp;DB=506&amp;FindType=Y&amp;SerialNum=2005307225" TargetMode="External"/><Relationship Id="rId242" Type="http://schemas.openxmlformats.org/officeDocument/2006/relationships/hyperlink" Target="http://www.westlaw.com/Find/Default.wl?rs=dfa1.0&amp;vr=2.0&amp;DB=506&amp;FindType=Y&amp;SerialNum=2005219605" TargetMode="External"/><Relationship Id="rId243" Type="http://schemas.openxmlformats.org/officeDocument/2006/relationships/hyperlink" Target="http://www.westlaw.com/Find/Default.wl?rs=dfa1.0&amp;vr=2.0&amp;DB=6538&amp;FindType=Y&amp;SerialNum=2005236521" TargetMode="External"/><Relationship Id="rId244" Type="http://schemas.openxmlformats.org/officeDocument/2006/relationships/hyperlink" Target="http://www.westlaw.com/Find/Default.wl?rs=dfa1.0&amp;vr=2.0&amp;DB=780&amp;FindType=Y&amp;SerialNum=2006365365" TargetMode="External"/><Relationship Id="rId245" Type="http://schemas.openxmlformats.org/officeDocument/2006/relationships/hyperlink" Target="http://www.westlaw.com/Find/Default.wl?rs=dfa1.0&amp;vr=2.0&amp;DB=506&amp;FindType=Y&amp;SerialNum=2007185019" TargetMode="External"/><Relationship Id="rId246" Type="http://schemas.openxmlformats.org/officeDocument/2006/relationships/hyperlink" Target="http://www.westlaw.com/Find/Default.wl?rs=dfa1.0&amp;vr=2.0&amp;DB=506&amp;FindType=Y&amp;SerialNum=2007068175" TargetMode="External"/><Relationship Id="rId247" Type="http://schemas.openxmlformats.org/officeDocument/2006/relationships/hyperlink" Target="http://www.westlaw.com/Find/Default.wl?rs=dfa1.0&amp;vr=2.0&amp;DB=6538&amp;FindType=Y&amp;SerialNum=2007066434" TargetMode="External"/><Relationship Id="rId248" Type="http://schemas.openxmlformats.org/officeDocument/2006/relationships/hyperlink" Target="http://www.westlaw.com/Find/Default.wl?rs=dfa1.0&amp;vr=2.0&amp;DB=506&amp;FindType=Y&amp;SerialNum=2005413525" TargetMode="External"/><Relationship Id="rId249" Type="http://schemas.openxmlformats.org/officeDocument/2006/relationships/hyperlink" Target="http://www.westlaw.com/Find/Default.wl?rs=dfa1.0&amp;vr=2.0&amp;DB=4637&amp;FindType=Y&amp;SerialNum=2007138700" TargetMode="External"/><Relationship Id="rId60" Type="http://schemas.openxmlformats.org/officeDocument/2006/relationships/hyperlink" Target="http://www.westlaw.com/Find/Default.wl?rs=dfa1.0&amp;vr=2.0&amp;DB=6538&amp;FindType=Y&amp;SerialNum=2007061220" TargetMode="External"/><Relationship Id="rId61" Type="http://schemas.openxmlformats.org/officeDocument/2006/relationships/hyperlink" Target="http://www.westlaw.com/Find/Default.wl?rs=dfa1.0&amp;vr=2.0&amp;DB=6538&amp;FindType=Y&amp;SerialNum=2007061223" TargetMode="External"/><Relationship Id="rId62" Type="http://schemas.openxmlformats.org/officeDocument/2006/relationships/hyperlink" Target="http://www.westlaw.com/Find/Default.wl?rs=dfa1.0&amp;vr=2.0&amp;DB=506&amp;FindType=Y&amp;SerialNum=2007058259" TargetMode="External"/><Relationship Id="rId63" Type="http://schemas.openxmlformats.org/officeDocument/2006/relationships/hyperlink" Target="http://www.westlaw.com/Find/Default.wl?rs=dfa1.0&amp;vr=2.0&amp;DB=6538&amp;FindType=Y&amp;SerialNum=2007059186" TargetMode="External"/><Relationship Id="rId64" Type="http://schemas.openxmlformats.org/officeDocument/2006/relationships/hyperlink" Target="http://www.westlaw.com/Find/Default.wl?rs=dfa1.0&amp;vr=2.0&amp;DB=6538&amp;FindType=Y&amp;SerialNum=2007049971" TargetMode="External"/><Relationship Id="rId65" Type="http://schemas.openxmlformats.org/officeDocument/2006/relationships/hyperlink" Target="http://www.westlaw.com/Find/Default.wl?rs=dfa1.0&amp;vr=2.0&amp;DB=6538&amp;FindType=Y&amp;SerialNum=2007050247" TargetMode="External"/><Relationship Id="rId66" Type="http://schemas.openxmlformats.org/officeDocument/2006/relationships/hyperlink" Target="http://www.westlaw.com/Find/Default.wl?rs=dfa1.0&amp;vr=2.0&amp;DB=6538&amp;FindType=Y&amp;SerialNum=2007057978" TargetMode="External"/><Relationship Id="rId67" Type="http://schemas.openxmlformats.org/officeDocument/2006/relationships/hyperlink" Target="http://www.westlaw.com/Find/Default.wl?rs=dfa1.0&amp;vr=2.0&amp;DB=6538&amp;FindType=Y&amp;SerialNum=2007059130" TargetMode="External"/><Relationship Id="rId68" Type="http://schemas.openxmlformats.org/officeDocument/2006/relationships/hyperlink" Target="http://www.westlaw.com/Find/Default.wl?rs=dfa1.0&amp;vr=2.0&amp;DB=6538&amp;FindType=Y&amp;SerialNum=2007059131" TargetMode="External"/><Relationship Id="rId69" Type="http://schemas.openxmlformats.org/officeDocument/2006/relationships/hyperlink" Target="http://www.westlaw.com/Find/Default.wl?rs=dfa1.0&amp;vr=2.0&amp;DB=6538&amp;FindType=Y&amp;SerialNum=2006995288" TargetMode="External"/><Relationship Id="rId160" Type="http://schemas.openxmlformats.org/officeDocument/2006/relationships/hyperlink" Target="http://www.westlaw.com/Find/Default.wl?rs=dfa1.0&amp;vr=2.0&amp;DB=6538&amp;FindType=Y&amp;SerialNum=2006505137" TargetMode="External"/><Relationship Id="rId161" Type="http://schemas.openxmlformats.org/officeDocument/2006/relationships/hyperlink" Target="http://www.westlaw.com/Find/Default.wl?rs=dfa1.0&amp;vr=2.0&amp;DB=6538&amp;FindType=Y&amp;SerialNum=2006505138" TargetMode="External"/><Relationship Id="rId162" Type="http://schemas.openxmlformats.org/officeDocument/2006/relationships/hyperlink" Target="http://www.westlaw.com/Find/Default.wl?rs=dfa1.0&amp;vr=2.0&amp;DB=506&amp;FindType=Y&amp;SerialNum=2006511124" TargetMode="External"/><Relationship Id="rId163" Type="http://schemas.openxmlformats.org/officeDocument/2006/relationships/hyperlink" Target="http://www.westlaw.com/Find/Default.wl?rs=dfa1.0&amp;vr=2.0&amp;DB=6538&amp;FindType=Y&amp;SerialNum=2006496449" TargetMode="External"/><Relationship Id="rId164" Type="http://schemas.openxmlformats.org/officeDocument/2006/relationships/hyperlink" Target="http://www.westlaw.com/Find/Default.wl?rs=dfa1.0&amp;vr=2.0&amp;DB=6538&amp;FindType=Y&amp;SerialNum=2006496450" TargetMode="External"/><Relationship Id="rId165" Type="http://schemas.openxmlformats.org/officeDocument/2006/relationships/hyperlink" Target="http://www.westlaw.com/Find/Default.wl?rs=dfa1.0&amp;vr=2.0&amp;DB=6538&amp;FindType=Y&amp;SerialNum=2006496451" TargetMode="External"/><Relationship Id="rId166" Type="http://schemas.openxmlformats.org/officeDocument/2006/relationships/hyperlink" Target="http://www.westlaw.com/Find/Default.wl?rs=dfa1.0&amp;vr=2.0&amp;DB=6538&amp;FindType=Y&amp;SerialNum=2006496453" TargetMode="External"/><Relationship Id="rId167" Type="http://schemas.openxmlformats.org/officeDocument/2006/relationships/hyperlink" Target="http://www.westlaw.com/Find/Default.wl?rs=dfa1.0&amp;vr=2.0&amp;DB=6538&amp;FindType=Y&amp;SerialNum=2006496611" TargetMode="External"/><Relationship Id="rId168" Type="http://schemas.openxmlformats.org/officeDocument/2006/relationships/hyperlink" Target="http://www.westlaw.com/Find/Default.wl?rs=dfa1.0&amp;vr=2.0&amp;DB=6538&amp;FindType=Y&amp;SerialNum=2006496612" TargetMode="External"/><Relationship Id="rId169" Type="http://schemas.openxmlformats.org/officeDocument/2006/relationships/hyperlink" Target="http://www.westlaw.com/Find/Default.wl?rs=dfa1.0&amp;vr=2.0&amp;DB=6538&amp;FindType=Y&amp;SerialNum=2006496705" TargetMode="External"/><Relationship Id="rId250" Type="http://schemas.openxmlformats.org/officeDocument/2006/relationships/hyperlink" Target="http://www.westlaw.com/Find/Default.wl?rs=dfa1.0&amp;vr=2.0&amp;FindType=Y&amp;SerialNum=2007062379" TargetMode="External"/><Relationship Id="rId251" Type="http://schemas.openxmlformats.org/officeDocument/2006/relationships/hyperlink" Target="http://www.westlaw.com/Find/Default.wl?rs=dfa1.0&amp;vr=2.0&amp;FindType=Y&amp;SerialNum=2006773922" TargetMode="External"/><Relationship Id="rId252" Type="http://schemas.openxmlformats.org/officeDocument/2006/relationships/hyperlink" Target="http://www.westlaw.com/Find/Default.wl?rs=dfa1.0&amp;vr=2.0&amp;FindType=Y&amp;SerialNum=2006588416" TargetMode="External"/><Relationship Id="rId253" Type="http://schemas.openxmlformats.org/officeDocument/2006/relationships/hyperlink" Target="http://www.westlaw.com/Find/Default.wl?rs=dfa1.0&amp;vr=2.0&amp;DB=4637&amp;FindType=Y&amp;SerialNum=2006550919" TargetMode="External"/><Relationship Id="rId100" Type="http://schemas.openxmlformats.org/officeDocument/2006/relationships/hyperlink" Target="http://www.westlaw.com/Find/Default.wl?rs=dfa1.0&amp;vr=2.0&amp;DB=6538&amp;FindType=Y&amp;SerialNum=2006802792" TargetMode="External"/><Relationship Id="rId101" Type="http://schemas.openxmlformats.org/officeDocument/2006/relationships/hyperlink" Target="http://www.westlaw.com/Find/Default.wl?rs=dfa1.0&amp;vr=2.0&amp;DB=6538&amp;FindType=Y&amp;SerialNum=2006802793" TargetMode="External"/><Relationship Id="rId102" Type="http://schemas.openxmlformats.org/officeDocument/2006/relationships/hyperlink" Target="http://www.westlaw.com/Find/Default.wl?rs=dfa1.0&amp;vr=2.0&amp;DB=6538&amp;FindType=Y&amp;SerialNum=2006800102" TargetMode="External"/><Relationship Id="rId103" Type="http://schemas.openxmlformats.org/officeDocument/2006/relationships/hyperlink" Target="http://www.westlaw.com/Find/Default.wl?rs=dfa1.0&amp;vr=2.0&amp;DB=6538&amp;FindType=Y&amp;SerialNum=2006800103" TargetMode="External"/><Relationship Id="rId104" Type="http://schemas.openxmlformats.org/officeDocument/2006/relationships/hyperlink" Target="http://www.westlaw.com/Find/Default.wl?rs=dfa1.0&amp;vr=2.0&amp;DB=6538&amp;FindType=Y&amp;SerialNum=2006800108" TargetMode="External"/><Relationship Id="rId105" Type="http://schemas.openxmlformats.org/officeDocument/2006/relationships/hyperlink" Target="http://www.westlaw.com/Find/Default.wl?rs=dfa1.0&amp;vr=2.0&amp;DB=6538&amp;FindType=Y&amp;SerialNum=2006800109"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www.westlaw.com/Find/Default.wl?rs=dfa1.0&amp;vr=2.0&amp;DB=6538&amp;FindType=Y&amp;SerialNum=2007915182" TargetMode="External"/><Relationship Id="rId14" Type="http://schemas.openxmlformats.org/officeDocument/2006/relationships/hyperlink" Target="http://www.westlaw.com/Find/Default.wl?rs=dfa1.0&amp;vr=2.0&amp;DB=6538&amp;FindType=Y&amp;SerialNum=2007905202" TargetMode="External"/><Relationship Id="rId15" Type="http://schemas.openxmlformats.org/officeDocument/2006/relationships/hyperlink" Target="http://www.westlaw.com/Find/Default.wl?rs=dfa1.0&amp;vr=2.0&amp;DB=506&amp;FindType=Y&amp;SerialNum=2007898984" TargetMode="External"/><Relationship Id="rId16" Type="http://schemas.openxmlformats.org/officeDocument/2006/relationships/hyperlink" Target="http://www.westlaw.com/Find/Default.wl?rs=dfa1.0&amp;vr=2.0&amp;DB=506&amp;FindType=Y&amp;SerialNum=2007899022" TargetMode="External"/><Relationship Id="rId17" Type="http://schemas.openxmlformats.org/officeDocument/2006/relationships/hyperlink" Target="http://www.westlaw.com/Find/Default.wl?rs=dfa1.0&amp;vr=2.0&amp;DB=6538&amp;FindType=Y&amp;SerialNum=2007900635" TargetMode="External"/><Relationship Id="rId18" Type="http://schemas.openxmlformats.org/officeDocument/2006/relationships/hyperlink" Target="http://www.westlaw.com/Find/Default.wl?rs=dfa1.0&amp;vr=2.0&amp;DB=6538&amp;FindType=Y&amp;SerialNum=2007834099" TargetMode="External"/><Relationship Id="rId19" Type="http://schemas.openxmlformats.org/officeDocument/2006/relationships/hyperlink" Target="http://www.westlaw.com/Find/Default.wl?rs=dfa1.0&amp;vr=2.0&amp;DB=6538&amp;FindType=Y&amp;SerialNum=2007824633" TargetMode="External"/><Relationship Id="rId63" Type="http://schemas.openxmlformats.org/officeDocument/2006/relationships/hyperlink" Target="http://www.westlaw.com/Find/Default.wl?rs=dfa1.0&amp;vr=2.0&amp;DB=506&amp;FindType=Y&amp;SerialNum=2008410800" TargetMode="External"/><Relationship Id="rId64" Type="http://schemas.openxmlformats.org/officeDocument/2006/relationships/hyperlink" Target="http://www.westlaw.com/Find/Default.wl?rs=dfa1.0&amp;vr=2.0&amp;DB=506&amp;FindType=Y&amp;SerialNum=2008410799" TargetMode="External"/><Relationship Id="rId65" Type="http://schemas.openxmlformats.org/officeDocument/2006/relationships/hyperlink" Target="http://www.westlaw.com/Find/Default.wl?rs=dfa1.0&amp;vr=2.0&amp;DB=506&amp;FindType=Y&amp;SerialNum=2008419456" TargetMode="External"/><Relationship Id="rId66" Type="http://schemas.openxmlformats.org/officeDocument/2006/relationships/hyperlink" Target="http://www.westlaw.com/Find/Default.wl?rs=dfa1.0&amp;vr=2.0&amp;DB=506&amp;FindType=Y&amp;SerialNum=2008742881" TargetMode="External"/><Relationship Id="rId67" Type="http://schemas.openxmlformats.org/officeDocument/2006/relationships/hyperlink" Target="http://www.westlaw.com/Find/Default.wl?rs=dfa1.0&amp;vr=2.0&amp;DB=6538&amp;FindType=Y&amp;SerialNum=2009653505" TargetMode="External"/><Relationship Id="rId68" Type="http://schemas.openxmlformats.org/officeDocument/2006/relationships/hyperlink" Target="http://www.westlaw.com/Find/Default.wl?rs=dfa1.0&amp;vr=2.0&amp;DB=506&amp;FindType=Y&amp;SerialNum=2009673907" TargetMode="External"/><Relationship Id="rId50" Type="http://schemas.openxmlformats.org/officeDocument/2006/relationships/hyperlink" Target="http://www.westlaw.com/Find/Default.wl?rs=dfa1.0&amp;vr=2.0&amp;DB=6538&amp;FindType=Y&amp;SerialNum=2007483744" TargetMode="External"/><Relationship Id="rId51" Type="http://schemas.openxmlformats.org/officeDocument/2006/relationships/hyperlink" Target="http://www.westlaw.com/Find/Default.wl?rs=dfa1.0&amp;vr=2.0&amp;DB=6538&amp;FindType=Y&amp;SerialNum=2007483745" TargetMode="External"/><Relationship Id="rId52" Type="http://schemas.openxmlformats.org/officeDocument/2006/relationships/hyperlink" Target="http://www.westlaw.com/Find/Default.wl?rs=dfa1.0&amp;vr=2.0&amp;DB=6538&amp;FindType=Y&amp;SerialNum=2007466242" TargetMode="External"/><Relationship Id="rId53" Type="http://schemas.openxmlformats.org/officeDocument/2006/relationships/hyperlink" Target="http://www.westlaw.com/Find/Default.wl?rs=dfa1.0&amp;vr=2.0&amp;DB=6538&amp;FindType=Y&amp;SerialNum=2007466243" TargetMode="External"/><Relationship Id="rId54" Type="http://schemas.openxmlformats.org/officeDocument/2006/relationships/hyperlink" Target="http://www.westlaw.com/Find/Default.wl?rs=dfa1.0&amp;vr=2.0&amp;DB=6538&amp;FindType=Y&amp;SerialNum=2007466246" TargetMode="External"/><Relationship Id="rId55" Type="http://schemas.openxmlformats.org/officeDocument/2006/relationships/hyperlink" Target="http://www.westlaw.com/Find/Default.wl?rs=dfa1.0&amp;vr=2.0&amp;DB=6538&amp;FindType=Y&amp;SerialNum=2007466247" TargetMode="External"/><Relationship Id="rId56" Type="http://schemas.openxmlformats.org/officeDocument/2006/relationships/hyperlink" Target="http://www.westlaw.com/Find/Default.wl?rs=dfa1.0&amp;vr=2.0&amp;DB=6538&amp;FindType=Y&amp;SerialNum=2007470332" TargetMode="External"/><Relationship Id="rId57" Type="http://schemas.openxmlformats.org/officeDocument/2006/relationships/hyperlink" Target="http://www.westlaw.com/Find/Default.wl?rs=dfa1.0&amp;vr=2.0&amp;DB=6538&amp;FindType=Y&amp;SerialNum=2007470333" TargetMode="External"/><Relationship Id="rId58" Type="http://schemas.openxmlformats.org/officeDocument/2006/relationships/hyperlink" Target="http://www.westlaw.com/Find/Default.wl?rs=dfa1.0&amp;vr=2.0&amp;DB=6538&amp;FindType=Y&amp;SerialNum=2007434504" TargetMode="External"/><Relationship Id="rId59" Type="http://schemas.openxmlformats.org/officeDocument/2006/relationships/hyperlink" Target="http://www.westlaw.com/Find/Default.wl?rs=dfa1.0&amp;vr=2.0&amp;DB=6538&amp;FindType=Y&amp;SerialNum=2010048307" TargetMode="External"/><Relationship Id="rId40" Type="http://schemas.openxmlformats.org/officeDocument/2006/relationships/hyperlink" Target="http://www.westlaw.com/Find/Default.wl?rs=dfa1.0&amp;vr=2.0&amp;DB=6538&amp;FindType=Y&amp;SerialNum=2007535016" TargetMode="External"/><Relationship Id="rId41" Type="http://schemas.openxmlformats.org/officeDocument/2006/relationships/hyperlink" Target="http://www.westlaw.com/Find/Default.wl?rs=dfa1.0&amp;vr=2.0&amp;DB=6538&amp;FindType=Y&amp;SerialNum=2007535019" TargetMode="External"/><Relationship Id="rId42" Type="http://schemas.openxmlformats.org/officeDocument/2006/relationships/hyperlink" Target="http://www.westlaw.com/Find/Default.wl?rs=dfa1.0&amp;vr=2.0&amp;DB=6538&amp;FindType=Y&amp;SerialNum=2007530990" TargetMode="External"/><Relationship Id="rId43" Type="http://schemas.openxmlformats.org/officeDocument/2006/relationships/hyperlink" Target="http://www.westlaw.com/Find/Default.wl?rs=dfa1.0&amp;vr=2.0&amp;DB=6538&amp;FindType=Y&amp;SerialNum=2007509541" TargetMode="External"/><Relationship Id="rId44" Type="http://schemas.openxmlformats.org/officeDocument/2006/relationships/hyperlink" Target="http://www.westlaw.com/Find/Default.wl?rs=dfa1.0&amp;vr=2.0&amp;DB=506&amp;FindType=Y&amp;SerialNum=2007488901" TargetMode="External"/><Relationship Id="rId45" Type="http://schemas.openxmlformats.org/officeDocument/2006/relationships/hyperlink" Target="http://www.westlaw.com/Find/Default.wl?rs=dfa1.0&amp;vr=2.0&amp;DB=6538&amp;FindType=Y&amp;SerialNum=2007491404" TargetMode="External"/><Relationship Id="rId46" Type="http://schemas.openxmlformats.org/officeDocument/2006/relationships/hyperlink" Target="http://www.westlaw.com/Find/Default.wl?rs=dfa1.0&amp;vr=2.0&amp;DB=6538&amp;FindType=Y&amp;SerialNum=2007491694" TargetMode="External"/><Relationship Id="rId47" Type="http://schemas.openxmlformats.org/officeDocument/2006/relationships/hyperlink" Target="http://www.westlaw.com/Find/Default.wl?rs=dfa1.0&amp;vr=2.0&amp;DB=6538&amp;FindType=Y&amp;SerialNum=2007500117" TargetMode="External"/><Relationship Id="rId48" Type="http://schemas.openxmlformats.org/officeDocument/2006/relationships/hyperlink" Target="http://www.westlaw.com/Find/Default.wl?rs=dfa1.0&amp;vr=2.0&amp;DB=6538&amp;FindType=Y&amp;SerialNum=2007500118" TargetMode="External"/><Relationship Id="rId49" Type="http://schemas.openxmlformats.org/officeDocument/2006/relationships/hyperlink" Target="http://www.westlaw.com/Find/Default.wl?rs=dfa1.0&amp;vr=2.0&amp;DB=6538&amp;FindType=Y&amp;SerialNum=2007483742" TargetMode="External"/><Relationship Id="rId1" Type="http://schemas.openxmlformats.org/officeDocument/2006/relationships/hyperlink" Target="http://www.westlaw.com/Find/Default.wl?rs=dfa1.0&amp;vr=2.0&amp;DB=506&amp;FindType=Y&amp;SerialNum=2008311064" TargetMode="External"/><Relationship Id="rId2" Type="http://schemas.openxmlformats.org/officeDocument/2006/relationships/hyperlink" Target="http://www.westlaw.com/Find/Default.wl?rs=dfa1.0&amp;vr=2.0&amp;DB=506&amp;FindType=Y&amp;SerialNum=2008286170" TargetMode="External"/><Relationship Id="rId3" Type="http://schemas.openxmlformats.org/officeDocument/2006/relationships/hyperlink" Target="http://www.westlaw.com/Find/Default.wl?rs=dfa1.0&amp;vr=2.0&amp;DB=506&amp;FindType=Y&amp;SerialNum=2008286183" TargetMode="External"/><Relationship Id="rId4" Type="http://schemas.openxmlformats.org/officeDocument/2006/relationships/hyperlink" Target="http://www.westlaw.com/Find/Default.wl?rs=dfa1.0&amp;vr=2.0&amp;DB=6538&amp;FindType=Y&amp;SerialNum=2008310238" TargetMode="External"/><Relationship Id="rId5" Type="http://schemas.openxmlformats.org/officeDocument/2006/relationships/hyperlink" Target="http://www.westlaw.com/Find/Default.wl?rs=dfa1.0&amp;vr=2.0&amp;DB=6538&amp;FindType=Y&amp;SerialNum=2008264249" TargetMode="External"/><Relationship Id="rId6" Type="http://schemas.openxmlformats.org/officeDocument/2006/relationships/hyperlink" Target="http://www.westlaw.com/Find/Default.wl?rs=dfa1.0&amp;vr=2.0&amp;DB=506&amp;FindType=Y&amp;SerialNum=2008212386" TargetMode="External"/><Relationship Id="rId7" Type="http://schemas.openxmlformats.org/officeDocument/2006/relationships/hyperlink" Target="http://www.westlaw.com/Find/Default.wl?rs=dfa1.0&amp;vr=2.0&amp;DB=506&amp;FindType=Y&amp;SerialNum=2008187899" TargetMode="External"/><Relationship Id="rId8" Type="http://schemas.openxmlformats.org/officeDocument/2006/relationships/hyperlink" Target="http://www.westlaw.com/Find/Default.wl?rs=dfa1.0&amp;vr=2.0&amp;DB=506&amp;FindType=Y&amp;SerialNum=2008187902" TargetMode="External"/><Relationship Id="rId9" Type="http://schemas.openxmlformats.org/officeDocument/2006/relationships/hyperlink" Target="http://www.westlaw.com/Find/Default.wl?rs=dfa1.0&amp;vr=2.0&amp;DB=506&amp;FindType=Y&amp;SerialNum=2008142757" TargetMode="External"/><Relationship Id="rId30" Type="http://schemas.openxmlformats.org/officeDocument/2006/relationships/hyperlink" Target="http://www.westlaw.com/Find/Default.wl?rs=dfa1.0&amp;vr=2.0&amp;DB=6538&amp;FindType=Y&amp;SerialNum=2007582915" TargetMode="External"/><Relationship Id="rId31" Type="http://schemas.openxmlformats.org/officeDocument/2006/relationships/hyperlink" Target="http://www.westlaw.com/Find/Default.wl?rs=dfa1.0&amp;vr=2.0&amp;DB=506&amp;FindType=Y&amp;SerialNum=2007569652" TargetMode="External"/><Relationship Id="rId32" Type="http://schemas.openxmlformats.org/officeDocument/2006/relationships/hyperlink" Target="http://www.westlaw.com/Find/Default.wl?rs=dfa1.0&amp;vr=2.0&amp;DB=6538&amp;FindType=Y&amp;SerialNum=2007567821" TargetMode="External"/><Relationship Id="rId33" Type="http://schemas.openxmlformats.org/officeDocument/2006/relationships/hyperlink" Target="http://www.westlaw.com/Find/Default.wl?rs=dfa1.0&amp;vr=2.0&amp;DB=6538&amp;FindType=Y&amp;SerialNum=2007567824" TargetMode="External"/><Relationship Id="rId34" Type="http://schemas.openxmlformats.org/officeDocument/2006/relationships/hyperlink" Target="http://www.westlaw.com/Find/Default.wl?rs=dfa1.0&amp;vr=2.0&amp;DB=6538&amp;FindType=Y&amp;SerialNum=2007567826" TargetMode="External"/><Relationship Id="rId35" Type="http://schemas.openxmlformats.org/officeDocument/2006/relationships/hyperlink" Target="http://www.westlaw.com/Find/Default.wl?rs=dfa1.0&amp;vr=2.0&amp;DB=6538&amp;FindType=Y&amp;SerialNum=2007564811" TargetMode="External"/><Relationship Id="rId36" Type="http://schemas.openxmlformats.org/officeDocument/2006/relationships/hyperlink" Target="http://www.westlaw.com/Find/Default.wl?rs=dfa1.0&amp;vr=2.0&amp;DB=6538&amp;FindType=Y&amp;SerialNum=2007553952" TargetMode="External"/><Relationship Id="rId37" Type="http://schemas.openxmlformats.org/officeDocument/2006/relationships/hyperlink" Target="http://www.westlaw.com/Find/Default.wl?rs=dfa1.0&amp;vr=2.0&amp;DB=6538&amp;FindType=Y&amp;SerialNum=2007541011" TargetMode="External"/><Relationship Id="rId38" Type="http://schemas.openxmlformats.org/officeDocument/2006/relationships/hyperlink" Target="http://www.westlaw.com/Find/Default.wl?rs=dfa1.0&amp;vr=2.0&amp;DB=6538&amp;FindType=Y&amp;SerialNum=2007541014" TargetMode="External"/><Relationship Id="rId39" Type="http://schemas.openxmlformats.org/officeDocument/2006/relationships/hyperlink" Target="http://www.westlaw.com/Find/Default.wl?rs=dfa1.0&amp;vr=2.0&amp;DB=6538&amp;FindType=Y&amp;SerialNum=2007535015" TargetMode="External"/><Relationship Id="rId20" Type="http://schemas.openxmlformats.org/officeDocument/2006/relationships/hyperlink" Target="http://www.westlaw.com/Find/Default.wl?rs=dfa1.0&amp;vr=2.0&amp;DB=6538&amp;FindType=Y&amp;SerialNum=2007824635" TargetMode="External"/><Relationship Id="rId21" Type="http://schemas.openxmlformats.org/officeDocument/2006/relationships/hyperlink" Target="http://www.westlaw.com/Find/Default.wl?rs=dfa1.0&amp;vr=2.0&amp;DB=506&amp;FindType=Y&amp;SerialNum=2007791510" TargetMode="External"/><Relationship Id="rId22" Type="http://schemas.openxmlformats.org/officeDocument/2006/relationships/hyperlink" Target="http://www.westlaw.com/Find/Default.wl?rs=dfa1.0&amp;vr=2.0&amp;DB=6538&amp;FindType=Y&amp;SerialNum=2007757965" TargetMode="External"/><Relationship Id="rId23" Type="http://schemas.openxmlformats.org/officeDocument/2006/relationships/hyperlink" Target="http://www.westlaw.com/Find/Default.wl?rs=dfa1.0&amp;vr=2.0&amp;DB=6538&amp;FindType=Y&amp;SerialNum=2007691874" TargetMode="External"/><Relationship Id="rId24" Type="http://schemas.openxmlformats.org/officeDocument/2006/relationships/hyperlink" Target="http://www.westlaw.com/Find/Default.wl?rs=dfa1.0&amp;vr=2.0&amp;DB=6538&amp;FindType=Y&amp;SerialNum=2007667354" TargetMode="External"/><Relationship Id="rId25" Type="http://schemas.openxmlformats.org/officeDocument/2006/relationships/hyperlink" Target="http://www.westlaw.com/Find/Default.wl?rs=dfa1.0&amp;vr=2.0&amp;DB=6538&amp;FindType=Y&amp;SerialNum=2007659894" TargetMode="External"/><Relationship Id="rId26" Type="http://schemas.openxmlformats.org/officeDocument/2006/relationships/hyperlink" Target="http://www.westlaw.com/Find/Default.wl?rs=dfa1.0&amp;vr=2.0&amp;DB=6538&amp;FindType=Y&amp;SerialNum=2007588970" TargetMode="External"/><Relationship Id="rId27" Type="http://schemas.openxmlformats.org/officeDocument/2006/relationships/hyperlink" Target="http://www.westlaw.com/Find/Default.wl?rs=dfa1.0&amp;vr=2.0&amp;DB=6538&amp;FindType=Y&amp;SerialNum=2007593047" TargetMode="External"/><Relationship Id="rId28" Type="http://schemas.openxmlformats.org/officeDocument/2006/relationships/hyperlink" Target="http://www.westlaw.com/Find/Default.wl?rs=dfa1.0&amp;vr=2.0&amp;DB=506&amp;FindType=Y&amp;SerialNum=2007581314" TargetMode="External"/><Relationship Id="rId29" Type="http://schemas.openxmlformats.org/officeDocument/2006/relationships/hyperlink" Target="http://www.westlaw.com/Find/Default.wl?rs=dfa1.0&amp;vr=2.0&amp;DB=6538&amp;FindType=Y&amp;SerialNum=2007582914" TargetMode="External"/><Relationship Id="rId60" Type="http://schemas.openxmlformats.org/officeDocument/2006/relationships/hyperlink" Target="http://www.westlaw.com/Find/Default.wl?rs=dfa1.0&amp;vr=2.0&amp;DB=506&amp;FindType=Y&amp;SerialNum=2008318802" TargetMode="External"/><Relationship Id="rId61" Type="http://schemas.openxmlformats.org/officeDocument/2006/relationships/hyperlink" Target="http://www.westlaw.com/Find/Default.wl?rs=dfa1.0&amp;vr=2.0&amp;DB=506&amp;FindType=Y&amp;SerialNum=2008318797" TargetMode="External"/><Relationship Id="rId62" Type="http://schemas.openxmlformats.org/officeDocument/2006/relationships/hyperlink" Target="http://www.westlaw.com/Find/Default.wl?rs=dfa1.0&amp;vr=2.0&amp;DB=506&amp;FindType=Y&amp;SerialNum=2008318792" TargetMode="External"/><Relationship Id="rId10" Type="http://schemas.openxmlformats.org/officeDocument/2006/relationships/hyperlink" Target="http://www.westlaw.com/Find/Default.wl?rs=dfa1.0&amp;vr=2.0&amp;DB=506&amp;FindType=Y&amp;SerialNum=2008082440" TargetMode="External"/><Relationship Id="rId11" Type="http://schemas.openxmlformats.org/officeDocument/2006/relationships/hyperlink" Target="http://www.westlaw.com/Find/Default.wl?rs=dfa1.0&amp;vr=2.0&amp;DB=506&amp;FindType=Y&amp;SerialNum=2007924404" TargetMode="External"/><Relationship Id="rId12" Type="http://schemas.openxmlformats.org/officeDocument/2006/relationships/hyperlink" Target="http://www.westlaw.com/Find/Default.wl?rs=dfa1.0&amp;vr=2.0&amp;DB=506&amp;FindType=Y&amp;SerialNum=2007908405"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2009397727" TargetMode="External"/><Relationship Id="rId14" Type="http://schemas.openxmlformats.org/officeDocument/2006/relationships/hyperlink" Target="http://www.westlaw.com/Find/Default.wl?rs=dfa1.0&amp;vr=2.0&amp;DB=506&amp;FindType=Y&amp;SerialNum=2009404696" TargetMode="External"/><Relationship Id="rId15" Type="http://schemas.openxmlformats.org/officeDocument/2006/relationships/hyperlink" Target="http://www.westlaw.com/Find/Default.wl?rs=dfa1.0&amp;vr=2.0&amp;DB=506&amp;FindType=Y&amp;SerialNum=2009392438" TargetMode="External"/><Relationship Id="rId16" Type="http://schemas.openxmlformats.org/officeDocument/2006/relationships/hyperlink" Target="http://www.westlaw.com/Find/Default.wl?rs=dfa1.0&amp;vr=2.0&amp;DB=506&amp;FindType=Y&amp;SerialNum=2009317617" TargetMode="External"/><Relationship Id="rId17" Type="http://schemas.openxmlformats.org/officeDocument/2006/relationships/hyperlink" Target="http://www.westlaw.com/Find/Default.wl?rs=dfa1.0&amp;vr=2.0&amp;DB=506&amp;FindType=Y&amp;SerialNum=2009250572" TargetMode="External"/><Relationship Id="rId18" Type="http://schemas.openxmlformats.org/officeDocument/2006/relationships/hyperlink" Target="http://www.westlaw.com/Find/Default.wl?rs=dfa1.0&amp;vr=2.0&amp;DB=506&amp;FindType=Y&amp;SerialNum=2009212930" TargetMode="External"/><Relationship Id="rId19" Type="http://schemas.openxmlformats.org/officeDocument/2006/relationships/hyperlink" Target="http://www.westlaw.com/Find/Default.wl?rs=dfa1.0&amp;vr=2.0&amp;DB=506&amp;FindType=Y&amp;SerialNum=2009129684" TargetMode="External"/><Relationship Id="rId50" Type="http://schemas.openxmlformats.org/officeDocument/2006/relationships/hyperlink" Target="http://www.westlaw.com/Find/Default.wl?rs=dfa1.0&amp;vr=2.0&amp;FindType=Y&amp;SerialNum=2008717319" TargetMode="External"/><Relationship Id="rId51" Type="http://schemas.openxmlformats.org/officeDocument/2006/relationships/hyperlink" Target="http://www.westlaw.com/Find/Default.wl?rs=dfa1.0&amp;vr=2.0&amp;FindType=Y&amp;SerialNum=2008632413" TargetMode="External"/><Relationship Id="rId52" Type="http://schemas.openxmlformats.org/officeDocument/2006/relationships/hyperlink" Target="http://www.westlaw.com/Find/Default.wl?rs=dfa1.0&amp;vr=2.0&amp;FindType=Y&amp;SerialNum=2008587457" TargetMode="External"/><Relationship Id="rId53" Type="http://schemas.openxmlformats.org/officeDocument/2006/relationships/hyperlink" Target="http://www.westlaw.com/Find/Default.wl?rs=dfa1.0&amp;vr=2.0&amp;FindType=Y&amp;SerialNum=2008515687" TargetMode="External"/><Relationship Id="rId54" Type="http://schemas.openxmlformats.org/officeDocument/2006/relationships/hyperlink" Target="http://www.westlaw.com/Find/Default.wl?rs=dfa1.0&amp;vr=2.0&amp;DB=4637&amp;FindType=Y&amp;SerialNum=2007964962" TargetMode="External"/><Relationship Id="rId55" Type="http://schemas.openxmlformats.org/officeDocument/2006/relationships/hyperlink" Target="http://www.westlaw.com/Find/Default.wl?rs=dfa1.0&amp;vr=2.0&amp;FindType=Y&amp;SerialNum=2007838665" TargetMode="External"/><Relationship Id="rId56" Type="http://schemas.openxmlformats.org/officeDocument/2006/relationships/hyperlink" Target="http://www.westlaw.com/Find/Default.wl?rs=dfa1.0&amp;vr=2.0&amp;FindType=Y&amp;SerialNum=2007923777" TargetMode="External"/><Relationship Id="rId57" Type="http://schemas.openxmlformats.org/officeDocument/2006/relationships/hyperlink" Target="http://www.westlaw.com/Find/Default.wl?rs=dfa1.0&amp;vr=2.0&amp;DB=164&amp;FindType=Y&amp;SerialNum=2010791141" TargetMode="External"/><Relationship Id="rId58" Type="http://schemas.openxmlformats.org/officeDocument/2006/relationships/hyperlink" Target="http://www.westlaw.com/Find/Default.wl?rs=dfa1.0&amp;vr=2.0&amp;DB=4637&amp;FindType=Y&amp;SerialNum=2007701403" TargetMode="External"/><Relationship Id="rId59" Type="http://schemas.openxmlformats.org/officeDocument/2006/relationships/hyperlink" Target="http://www.westlaw.com/Find/Default.wl?rs=dfa1.0&amp;vr=2.0&amp;DB=26&amp;FindType=Y&amp;SerialNum=2007662511" TargetMode="External"/><Relationship Id="rId40" Type="http://schemas.openxmlformats.org/officeDocument/2006/relationships/hyperlink" Target="http://www.westlaw.com/Find/Default.wl?rs=dfa1.0&amp;vr=2.0&amp;DB=164&amp;FindType=Y&amp;SerialNum=2014309065" TargetMode="External"/><Relationship Id="rId41" Type="http://schemas.openxmlformats.org/officeDocument/2006/relationships/hyperlink" Target="http://www.westlaw.com/Find/Default.wl?rs=dfa1.0&amp;vr=2.0&amp;DB=164&amp;FindType=Y&amp;SerialNum=2010764377" TargetMode="External"/><Relationship Id="rId42" Type="http://schemas.openxmlformats.org/officeDocument/2006/relationships/hyperlink" Target="http://www.westlaw.com/Find/Default.wl?rs=dfa1.0&amp;vr=2.0&amp;DB=164&amp;FindType=Y&amp;SerialNum=2009339012" TargetMode="External"/><Relationship Id="rId43" Type="http://schemas.openxmlformats.org/officeDocument/2006/relationships/hyperlink" Target="http://www.westlaw.com/Find/Default.wl?rs=dfa1.0&amp;vr=2.0&amp;FindType=Y&amp;SerialNum=2009265788" TargetMode="External"/><Relationship Id="rId44" Type="http://schemas.openxmlformats.org/officeDocument/2006/relationships/hyperlink" Target="http://www.westlaw.com/Find/Default.wl?rs=dfa1.0&amp;vr=2.0&amp;DB=164&amp;FindType=Y&amp;SerialNum=2009255335" TargetMode="External"/><Relationship Id="rId45" Type="http://schemas.openxmlformats.org/officeDocument/2006/relationships/hyperlink" Target="http://www.westlaw.com/Find/Default.wl?rs=dfa1.0&amp;vr=2.0&amp;DB=4637&amp;FindType=Y&amp;SerialNum=2009128848" TargetMode="External"/><Relationship Id="rId46" Type="http://schemas.openxmlformats.org/officeDocument/2006/relationships/hyperlink" Target="http://www.westlaw.com/Find/Default.wl?rs=dfa1.0&amp;vr=2.0&amp;FindType=Y&amp;SerialNum=2009118661" TargetMode="External"/><Relationship Id="rId47" Type="http://schemas.openxmlformats.org/officeDocument/2006/relationships/hyperlink" Target="http://www.westlaw.com/Find/Default.wl?rs=dfa1.0&amp;vr=2.0&amp;DB=4637&amp;FindType=Y&amp;SerialNum=2008856144" TargetMode="External"/><Relationship Id="rId48" Type="http://schemas.openxmlformats.org/officeDocument/2006/relationships/hyperlink" Target="http://www.westlaw.com/Find/Default.wl?rs=dfa1.0&amp;vr=2.0&amp;DB=164&amp;FindType=Y&amp;SerialNum=2008834184" TargetMode="External"/><Relationship Id="rId49" Type="http://schemas.openxmlformats.org/officeDocument/2006/relationships/hyperlink" Target="http://www.westlaw.com/Find/Default.wl?rs=dfa1.0&amp;vr=2.0&amp;FindType=Y&amp;SerialNum=2008743219" TargetMode="External"/><Relationship Id="rId1" Type="http://schemas.openxmlformats.org/officeDocument/2006/relationships/hyperlink" Target="http://www.westlaw.com/Find/Default.wl?rs=dfa1.0&amp;vr=2.0&amp;DB=780&amp;FindType=Y&amp;SerialNum=2008261630" TargetMode="External"/><Relationship Id="rId2" Type="http://schemas.openxmlformats.org/officeDocument/2006/relationships/hyperlink" Target="http://www.westlaw.com/Find/Default.wl?rs=dfa1.0&amp;vr=2.0&amp;DB=6538&amp;FindType=Y&amp;SerialNum=2010384360" TargetMode="External"/><Relationship Id="rId3" Type="http://schemas.openxmlformats.org/officeDocument/2006/relationships/hyperlink" Target="http://www.westlaw.com/Find/Default.wl?rs=dfa1.0&amp;vr=2.0&amp;DB=6538&amp;FindType=Y&amp;SerialNum=2010225365" TargetMode="External"/><Relationship Id="rId4" Type="http://schemas.openxmlformats.org/officeDocument/2006/relationships/hyperlink" Target="http://www.westlaw.com/Find/Default.wl?rs=dfa1.0&amp;vr=2.0&amp;DB=506&amp;FindType=Y&amp;SerialNum=2010200956" TargetMode="External"/><Relationship Id="rId5" Type="http://schemas.openxmlformats.org/officeDocument/2006/relationships/hyperlink" Target="http://www.westlaw.com/Find/Default.wl?rs=dfa1.0&amp;vr=2.0&amp;DB=506&amp;FindType=Y&amp;SerialNum=2009781129" TargetMode="External"/><Relationship Id="rId6" Type="http://schemas.openxmlformats.org/officeDocument/2006/relationships/hyperlink" Target="http://www.westlaw.com/Find/Default.wl?rs=dfa1.0&amp;vr=2.0&amp;DB=506&amp;FindType=Y&amp;SerialNum=2009736718" TargetMode="External"/><Relationship Id="rId7" Type="http://schemas.openxmlformats.org/officeDocument/2006/relationships/hyperlink" Target="http://www.westlaw.com/Find/Default.wl?rs=dfa1.0&amp;vr=2.0&amp;DB=506&amp;FindType=Y&amp;SerialNum=2009719188" TargetMode="External"/><Relationship Id="rId8" Type="http://schemas.openxmlformats.org/officeDocument/2006/relationships/hyperlink" Target="http://www.westlaw.com/Find/Default.wl?rs=dfa1.0&amp;vr=2.0&amp;DB=506&amp;FindType=Y&amp;SerialNum=2009673900" TargetMode="External"/><Relationship Id="rId9" Type="http://schemas.openxmlformats.org/officeDocument/2006/relationships/hyperlink" Target="http://www.westlaw.com/Find/Default.wl?rs=dfa1.0&amp;vr=2.0&amp;DB=506&amp;FindType=Y&amp;SerialNum=2009645292" TargetMode="External"/><Relationship Id="rId30" Type="http://schemas.openxmlformats.org/officeDocument/2006/relationships/hyperlink" Target="http://www.westlaw.com/Find/Default.wl?rs=dfa1.0&amp;vr=2.0&amp;FindType=Y&amp;SerialNum=2010423575" TargetMode="External"/><Relationship Id="rId31" Type="http://schemas.openxmlformats.org/officeDocument/2006/relationships/hyperlink" Target="http://www.westlaw.com/Find/Default.wl?rs=dfa1.0&amp;vr=2.0&amp;FindType=Y&amp;SerialNum=2012984428" TargetMode="External"/><Relationship Id="rId32" Type="http://schemas.openxmlformats.org/officeDocument/2006/relationships/hyperlink" Target="http://www.westlaw.com/Find/Default.wl?rs=dfa1.0&amp;vr=2.0&amp;DB=4637&amp;FindType=Y&amp;SerialNum=2011800666" TargetMode="External"/><Relationship Id="rId33" Type="http://schemas.openxmlformats.org/officeDocument/2006/relationships/hyperlink" Target="http://www.westlaw.com/Find/Default.wl?rs=dfa1.0&amp;vr=2.0&amp;DB=4637&amp;FindType=Y&amp;SerialNum=2010258767" TargetMode="External"/><Relationship Id="rId34" Type="http://schemas.openxmlformats.org/officeDocument/2006/relationships/hyperlink" Target="http://www.westlaw.com/Find/Default.wl?rs=dfa1.0&amp;vr=2.0&amp;FindType=Y&amp;SerialNum=2010283391" TargetMode="External"/><Relationship Id="rId35" Type="http://schemas.openxmlformats.org/officeDocument/2006/relationships/hyperlink" Target="http://www.westlaw.com/Find/Default.wl?rs=dfa1.0&amp;vr=2.0&amp;FindType=Y&amp;SerialNum=2010277084" TargetMode="External"/><Relationship Id="rId36" Type="http://schemas.openxmlformats.org/officeDocument/2006/relationships/hyperlink" Target="http://www.westlaw.com/Find/Default.wl?rs=dfa1.0&amp;vr=2.0&amp;DB=164&amp;FindType=Y&amp;SerialNum=2012627994" TargetMode="External"/><Relationship Id="rId37" Type="http://schemas.openxmlformats.org/officeDocument/2006/relationships/hyperlink" Target="http://www.westlaw.com/Find/Default.wl?rs=dfa1.0&amp;vr=2.0&amp;DB=4637&amp;FindType=Y&amp;SerialNum=2010219926" TargetMode="External"/><Relationship Id="rId38" Type="http://schemas.openxmlformats.org/officeDocument/2006/relationships/hyperlink" Target="http://www.westlaw.com/Find/Default.wl?rs=dfa1.0&amp;vr=2.0&amp;DB=4637&amp;FindType=Y&amp;SerialNum=2009795497" TargetMode="External"/><Relationship Id="rId39" Type="http://schemas.openxmlformats.org/officeDocument/2006/relationships/hyperlink" Target="http://www.westlaw.com/Find/Default.wl?rs=dfa1.0&amp;vr=2.0&amp;FindType=Y&amp;SerialNum=2009515289" TargetMode="External"/><Relationship Id="rId20" Type="http://schemas.openxmlformats.org/officeDocument/2006/relationships/hyperlink" Target="http://www.westlaw.com/Find/Default.wl?rs=dfa1.0&amp;vr=2.0&amp;DB=506&amp;FindType=Y&amp;SerialNum=2009106036" TargetMode="External"/><Relationship Id="rId21" Type="http://schemas.openxmlformats.org/officeDocument/2006/relationships/hyperlink" Target="http://www.westlaw.com/Find/Default.wl?rs=dfa1.0&amp;vr=2.0&amp;DB=506&amp;FindType=Y&amp;SerialNum=2009084100" TargetMode="External"/><Relationship Id="rId22" Type="http://schemas.openxmlformats.org/officeDocument/2006/relationships/hyperlink" Target="http://www.westlaw.com/Find/Default.wl?rs=dfa1.0&amp;vr=2.0&amp;DB=506&amp;FindType=Y&amp;SerialNum=2008986777" TargetMode="External"/><Relationship Id="rId23" Type="http://schemas.openxmlformats.org/officeDocument/2006/relationships/hyperlink" Target="http://www.westlaw.com/Find/Default.wl?rs=dfa1.0&amp;vr=2.0&amp;DB=506&amp;FindType=Y&amp;SerialNum=2008850482" TargetMode="External"/><Relationship Id="rId24" Type="http://schemas.openxmlformats.org/officeDocument/2006/relationships/hyperlink" Target="http://www.westlaw.com/Find/Default.wl?rs=dfa1.0&amp;vr=2.0&amp;DB=506&amp;FindType=Y&amp;SerialNum=2008826641" TargetMode="External"/><Relationship Id="rId25" Type="http://schemas.openxmlformats.org/officeDocument/2006/relationships/hyperlink" Target="http://www.westlaw.com/Find/Default.wl?rs=dfa1.0&amp;vr=2.0&amp;DB=506&amp;FindType=Y&amp;SerialNum=2008783285" TargetMode="External"/><Relationship Id="rId26" Type="http://schemas.openxmlformats.org/officeDocument/2006/relationships/hyperlink" Target="http://www.westlaw.com/Find/Default.wl?rs=dfa1.0&amp;vr=2.0&amp;DB=506&amp;FindType=Y&amp;SerialNum=2008692741" TargetMode="External"/><Relationship Id="rId27" Type="http://schemas.openxmlformats.org/officeDocument/2006/relationships/hyperlink" Target="http://www.westlaw.com/Find/Default.wl?rs=dfa1.0&amp;vr=2.0&amp;DB=506&amp;FindType=Y&amp;SerialNum=2008662458" TargetMode="External"/><Relationship Id="rId28" Type="http://schemas.openxmlformats.org/officeDocument/2006/relationships/hyperlink" Target="http://www.westlaw.com/Find/Default.wl?rs=dfa1.0&amp;vr=2.0&amp;DB=506&amp;FindType=Y&amp;SerialNum=2008584043" TargetMode="External"/><Relationship Id="rId29" Type="http://schemas.openxmlformats.org/officeDocument/2006/relationships/hyperlink" Target="http://www.westlaw.com/Find/Default.wl?rs=dfa1.0&amp;vr=2.0&amp;DB=506&amp;FindType=Y&amp;SerialNum=2008333134" TargetMode="External"/><Relationship Id="rId10" Type="http://schemas.openxmlformats.org/officeDocument/2006/relationships/hyperlink" Target="http://www.westlaw.com/Find/Default.wl?rs=dfa1.0&amp;vr=2.0&amp;DB=506&amp;FindType=Y&amp;SerialNum=2009616978" TargetMode="External"/><Relationship Id="rId11" Type="http://schemas.openxmlformats.org/officeDocument/2006/relationships/hyperlink" Target="http://www.westlaw.com/Find/Default.wl?rs=dfa1.0&amp;vr=2.0&amp;DB=506&amp;FindType=Y&amp;SerialNum=2009603940" TargetMode="External"/><Relationship Id="rId12" Type="http://schemas.openxmlformats.org/officeDocument/2006/relationships/hyperlink" Target="http://www.westlaw.com/Find/Default.wl?rs=dfa1.0&amp;vr=2.0&amp;DB=506&amp;FindType=Y&amp;SerialNum=200946864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westlaw.com/Find/Default.wl?rs=dfa1.0&amp;vr=2.0&amp;DB=350&amp;FindType=Y&amp;SerialNum=1990125986" TargetMode="External"/><Relationship Id="rId4" Type="http://schemas.openxmlformats.org/officeDocument/2006/relationships/hyperlink" Target="http://www.westlaw.com/Find/Default.wl?rs=dfa1.0&amp;vr=2.0&amp;DB=350&amp;FindType=Y&amp;SerialNum=1990108700" TargetMode="External"/><Relationship Id="rId1" Type="http://schemas.openxmlformats.org/officeDocument/2006/relationships/hyperlink" Target="http://www.westlaw.com/Find/Default.wl?rs=dfa1.0&amp;vr=2.0&amp;DB=350&amp;FindType=Y&amp;SerialNum=1990136440" TargetMode="External"/><Relationship Id="rId2" Type="http://schemas.openxmlformats.org/officeDocument/2006/relationships/hyperlink" Target="http://www.westlaw.com/Find/Default.wl?rs=dfa1.0&amp;vr=2.0&amp;DB=350&amp;FindType=Y&amp;SerialNum=1990129429" TargetMode="External"/></Relationships>
</file>

<file path=xl/worksheets/_rels/sheet20.xml.rels><?xml version="1.0" encoding="UTF-8" standalone="yes"?>
<Relationships xmlns="http://schemas.openxmlformats.org/package/2006/relationships"><Relationship Id="rId101" Type="http://schemas.openxmlformats.org/officeDocument/2006/relationships/hyperlink" Target="http://www.westlaw.com/Find/Default.wl?rs=dfa1.0&amp;vr=2.0&amp;FindType=Y&amp;SerialNum=2011281186" TargetMode="External"/><Relationship Id="rId102" Type="http://schemas.openxmlformats.org/officeDocument/2006/relationships/hyperlink" Target="http://www.westlaw.com/Find/Default.wl?rs=dfa1.0&amp;vr=2.0&amp;FindType=Y&amp;SerialNum=2011127724" TargetMode="External"/><Relationship Id="rId103" Type="http://schemas.openxmlformats.org/officeDocument/2006/relationships/hyperlink" Target="http://www.westlaw.com/Find/Default.wl?rs=dfa1.0&amp;vr=2.0&amp;DB=4637&amp;FindType=Y&amp;SerialNum=2010939948" TargetMode="External"/><Relationship Id="rId104" Type="http://schemas.openxmlformats.org/officeDocument/2006/relationships/hyperlink" Target="http://www.westlaw.com/Find/Default.wl?rs=dfa1.0&amp;vr=2.0&amp;DB=164&amp;FindType=Y&amp;SerialNum=2010894255" TargetMode="External"/><Relationship Id="rId105" Type="http://schemas.openxmlformats.org/officeDocument/2006/relationships/hyperlink" Target="http://www.westlaw.com/Find/Default.wl?rs=dfa1.0&amp;vr=2.0&amp;DB=4637&amp;FindType=Y&amp;SerialNum=2010706566" TargetMode="External"/><Relationship Id="rId106" Type="http://schemas.openxmlformats.org/officeDocument/2006/relationships/hyperlink" Target="http://www.westlaw.com/Find/Default.wl?rs=dfa1.0&amp;vr=2.0&amp;FindType=Y&amp;SerialNum=2010668146" TargetMode="External"/><Relationship Id="rId107" Type="http://schemas.openxmlformats.org/officeDocument/2006/relationships/hyperlink" Target="http://www.westlaw.com/Find/Default.wl?rs=dfa1.0&amp;vr=2.0&amp;DB=4637&amp;FindType=Y&amp;SerialNum=2010660927" TargetMode="External"/><Relationship Id="rId1" Type="http://schemas.openxmlformats.org/officeDocument/2006/relationships/hyperlink" Target="http://www.westlaw.com/Find/Default.wl?rs=dfa1.0&amp;vr=2.0&amp;DB=780&amp;FindType=Y&amp;SerialNum=2012538428" TargetMode="External"/><Relationship Id="rId2" Type="http://schemas.openxmlformats.org/officeDocument/2006/relationships/hyperlink" Target="http://www.westlaw.com/Find/Default.wl?rs=dfa1.0&amp;vr=2.0&amp;DB=780&amp;FindType=Y&amp;SerialNum=2012518408" TargetMode="External"/><Relationship Id="rId3" Type="http://schemas.openxmlformats.org/officeDocument/2006/relationships/hyperlink" Target="http://www.westlaw.com/Find/Default.wl?rs=dfa1.0&amp;vr=2.0&amp;DB=780&amp;FindType=Y&amp;SerialNum=2012126123" TargetMode="External"/><Relationship Id="rId4" Type="http://schemas.openxmlformats.org/officeDocument/2006/relationships/hyperlink" Target="http://www.westlaw.com/Find/Default.wl?rs=dfa1.0&amp;vr=2.0&amp;DB=780&amp;FindType=Y&amp;SerialNum=2011784747" TargetMode="External"/><Relationship Id="rId5" Type="http://schemas.openxmlformats.org/officeDocument/2006/relationships/hyperlink" Target="http://www.westlaw.com/Find/Default.wl?rs=dfa1.0&amp;vr=2.0&amp;DB=506&amp;FindType=Y&amp;SerialNum=2013195794" TargetMode="External"/><Relationship Id="rId6" Type="http://schemas.openxmlformats.org/officeDocument/2006/relationships/hyperlink" Target="http://www.westlaw.com/Find/Default.wl?rs=dfa1.0&amp;vr=2.0&amp;DB=506&amp;FindType=Y&amp;SerialNum=2022683646" TargetMode="External"/><Relationship Id="rId7" Type="http://schemas.openxmlformats.org/officeDocument/2006/relationships/hyperlink" Target="http://www.westlaw.com/Find/Default.wl?rs=dfa1.0&amp;vr=2.0&amp;DB=506&amp;FindType=Y&amp;SerialNum=2013180981" TargetMode="External"/><Relationship Id="rId8" Type="http://schemas.openxmlformats.org/officeDocument/2006/relationships/hyperlink" Target="http://www.westlaw.com/Find/Default.wl?rs=dfa1.0&amp;vr=2.0&amp;DB=506&amp;FindType=Y&amp;SerialNum=2013115666" TargetMode="External"/><Relationship Id="rId9" Type="http://schemas.openxmlformats.org/officeDocument/2006/relationships/hyperlink" Target="http://www.westlaw.com/Find/Default.wl?rs=dfa1.0&amp;vr=2.0&amp;DB=506&amp;FindType=Y&amp;SerialNum=2013108352" TargetMode="External"/><Relationship Id="rId108" Type="http://schemas.openxmlformats.org/officeDocument/2006/relationships/hyperlink" Target="http://www.westlaw.com/Find/Default.wl?rs=dfa1.0&amp;vr=2.0&amp;FindType=Y&amp;SerialNum=2011386977" TargetMode="External"/><Relationship Id="rId109" Type="http://schemas.openxmlformats.org/officeDocument/2006/relationships/hyperlink" Target="http://www.westlaw.com/Find/Default.wl?rs=dfa1.0&amp;vr=2.0&amp;DB=4637&amp;FindType=Y&amp;SerialNum=2010469500" TargetMode="External"/><Relationship Id="rId10" Type="http://schemas.openxmlformats.org/officeDocument/2006/relationships/hyperlink" Target="http://www.westlaw.com/Find/Default.wl?rs=dfa1.0&amp;vr=2.0&amp;DB=506&amp;FindType=Y&amp;SerialNum=2015081452" TargetMode="External"/><Relationship Id="rId11" Type="http://schemas.openxmlformats.org/officeDocument/2006/relationships/hyperlink" Target="http://www.westlaw.com/Find/Default.wl?rs=dfa1.0&amp;vr=2.0&amp;DB=506&amp;FindType=Y&amp;SerialNum=2012863952" TargetMode="External"/><Relationship Id="rId12" Type="http://schemas.openxmlformats.org/officeDocument/2006/relationships/hyperlink" Target="http://www.westlaw.com/Find/Default.wl?rs=dfa1.0&amp;vr=2.0&amp;DB=506&amp;FindType=Y&amp;SerialNum=2012853233" TargetMode="External"/><Relationship Id="rId13" Type="http://schemas.openxmlformats.org/officeDocument/2006/relationships/hyperlink" Target="http://www.westlaw.com/Find/Default.wl?rs=dfa1.0&amp;vr=2.0&amp;DB=506&amp;FindType=Y&amp;SerialNum=2012846509" TargetMode="External"/><Relationship Id="rId14" Type="http://schemas.openxmlformats.org/officeDocument/2006/relationships/hyperlink" Target="http://www.westlaw.com/Find/Default.wl?rs=dfa1.0&amp;vr=2.0&amp;DB=506&amp;FindType=Y&amp;SerialNum=2012793883" TargetMode="External"/><Relationship Id="rId15" Type="http://schemas.openxmlformats.org/officeDocument/2006/relationships/hyperlink" Target="http://www.westlaw.com/Find/Default.wl?rs=dfa1.0&amp;vr=2.0&amp;DB=506&amp;FindType=Y&amp;SerialNum=2012793895" TargetMode="External"/><Relationship Id="rId16" Type="http://schemas.openxmlformats.org/officeDocument/2006/relationships/hyperlink" Target="http://www.westlaw.com/Find/Default.wl?rs=dfa1.0&amp;vr=2.0&amp;DB=506&amp;FindType=Y&amp;SerialNum=2012774167" TargetMode="External"/><Relationship Id="rId17" Type="http://schemas.openxmlformats.org/officeDocument/2006/relationships/hyperlink" Target="http://www.westlaw.com/Find/Default.wl?rs=dfa1.0&amp;vr=2.0&amp;DB=506&amp;FindType=Y&amp;SerialNum=2012760776" TargetMode="External"/><Relationship Id="rId18" Type="http://schemas.openxmlformats.org/officeDocument/2006/relationships/hyperlink" Target="http://www.westlaw.com/Find/Default.wl?rs=dfa1.0&amp;vr=2.0&amp;DB=506&amp;FindType=Y&amp;SerialNum=2012762873" TargetMode="External"/><Relationship Id="rId19" Type="http://schemas.openxmlformats.org/officeDocument/2006/relationships/hyperlink" Target="http://www.westlaw.com/Find/Default.wl?rs=dfa1.0&amp;vr=2.0&amp;DB=506&amp;FindType=Y&amp;SerialNum=2012713652" TargetMode="External"/><Relationship Id="rId30" Type="http://schemas.openxmlformats.org/officeDocument/2006/relationships/hyperlink" Target="http://www.westlaw.com/Find/Default.wl?rs=dfa1.0&amp;vr=2.0&amp;DB=506&amp;FindType=Y&amp;SerialNum=2011928902" TargetMode="External"/><Relationship Id="rId31" Type="http://schemas.openxmlformats.org/officeDocument/2006/relationships/hyperlink" Target="http://www.westlaw.com/Find/Default.wl?rs=dfa1.0&amp;vr=2.0&amp;DB=506&amp;FindType=Y&amp;SerialNum=2011669814" TargetMode="External"/><Relationship Id="rId32" Type="http://schemas.openxmlformats.org/officeDocument/2006/relationships/hyperlink" Target="http://www.westlaw.com/Find/Default.wl?rs=dfa1.0&amp;vr=2.0&amp;DB=506&amp;FindType=Y&amp;SerialNum=2011501620" TargetMode="External"/><Relationship Id="rId33" Type="http://schemas.openxmlformats.org/officeDocument/2006/relationships/hyperlink" Target="http://www.westlaw.com/Find/Default.wl?rs=dfa1.0&amp;vr=2.0&amp;DB=506&amp;FindType=Y&amp;SerialNum=2011455706" TargetMode="External"/><Relationship Id="rId34" Type="http://schemas.openxmlformats.org/officeDocument/2006/relationships/hyperlink" Target="http://www.westlaw.com/Find/Default.wl?rs=dfa1.0&amp;vr=2.0&amp;DB=506&amp;FindType=Y&amp;SerialNum=2011220046" TargetMode="External"/><Relationship Id="rId35" Type="http://schemas.openxmlformats.org/officeDocument/2006/relationships/hyperlink" Target="http://www.westlaw.com/Find/Default.wl?rs=dfa1.0&amp;vr=2.0&amp;DB=506&amp;FindType=Y&amp;SerialNum=2011133892" TargetMode="External"/><Relationship Id="rId36" Type="http://schemas.openxmlformats.org/officeDocument/2006/relationships/hyperlink" Target="http://www.westlaw.com/Find/Default.wl?rs=dfa1.0&amp;vr=2.0&amp;DB=506&amp;FindType=Y&amp;SerialNum=2010750889" TargetMode="External"/><Relationship Id="rId37" Type="http://schemas.openxmlformats.org/officeDocument/2006/relationships/hyperlink" Target="http://www.westlaw.com/Find/Default.wl?rs=dfa1.0&amp;vr=2.0&amp;DB=506&amp;FindType=Y&amp;SerialNum=2010728495" TargetMode="External"/><Relationship Id="rId38" Type="http://schemas.openxmlformats.org/officeDocument/2006/relationships/hyperlink" Target="http://www.westlaw.com/Find/Default.wl?rs=dfa1.0&amp;vr=2.0&amp;DB=506&amp;FindType=Y&amp;SerialNum=2010705679" TargetMode="External"/><Relationship Id="rId39" Type="http://schemas.openxmlformats.org/officeDocument/2006/relationships/hyperlink" Target="http://www.westlaw.com/Find/Default.wl?rs=dfa1.0&amp;vr=2.0&amp;DB=506&amp;FindType=Y&amp;SerialNum=2010694499" TargetMode="External"/><Relationship Id="rId50" Type="http://schemas.openxmlformats.org/officeDocument/2006/relationships/hyperlink" Target="http://www.westlaw.com/Find/Default.wl?rs=dfa1.0&amp;vr=2.0&amp;FindType=Y&amp;SerialNum=2013195312" TargetMode="External"/><Relationship Id="rId51" Type="http://schemas.openxmlformats.org/officeDocument/2006/relationships/hyperlink" Target="http://www.westlaw.com/Find/Default.wl?rs=dfa1.0&amp;vr=2.0&amp;FindType=Y&amp;SerialNum=2013143959" TargetMode="External"/><Relationship Id="rId52" Type="http://schemas.openxmlformats.org/officeDocument/2006/relationships/hyperlink" Target="http://www.westlaw.com/Find/Default.wl?rs=dfa1.0&amp;vr=2.0&amp;FindType=Y&amp;SerialNum=2013132097" TargetMode="External"/><Relationship Id="rId53" Type="http://schemas.openxmlformats.org/officeDocument/2006/relationships/hyperlink" Target="http://www.westlaw.com/Find/Default.wl?rs=dfa1.0&amp;vr=2.0&amp;DB=4637&amp;FindType=Y&amp;SerialNum=2012960408" TargetMode="External"/><Relationship Id="rId54" Type="http://schemas.openxmlformats.org/officeDocument/2006/relationships/hyperlink" Target="http://www.westlaw.com/Find/Default.wl?rs=dfa1.0&amp;vr=2.0&amp;FindType=Y&amp;SerialNum=2012987644" TargetMode="External"/><Relationship Id="rId55" Type="http://schemas.openxmlformats.org/officeDocument/2006/relationships/hyperlink" Target="http://www.westlaw.com/Find/Default.wl?rs=dfa1.0&amp;vr=2.0&amp;DB=4637&amp;FindType=Y&amp;SerialNum=2012718753" TargetMode="External"/><Relationship Id="rId56" Type="http://schemas.openxmlformats.org/officeDocument/2006/relationships/hyperlink" Target="http://www.westlaw.com/Find/Default.wl?rs=dfa1.0&amp;vr=2.0&amp;DB=4637&amp;FindType=Y&amp;SerialNum=2012707071" TargetMode="External"/><Relationship Id="rId57" Type="http://schemas.openxmlformats.org/officeDocument/2006/relationships/hyperlink" Target="http://www.westlaw.com/Find/Default.wl?rs=dfa1.0&amp;vr=2.0&amp;FindType=Y&amp;SerialNum=2012643804" TargetMode="External"/><Relationship Id="rId58" Type="http://schemas.openxmlformats.org/officeDocument/2006/relationships/hyperlink" Target="http://www.westlaw.com/Find/Default.wl?rs=dfa1.0&amp;vr=2.0&amp;FindType=Y&amp;SerialNum=2012554244" TargetMode="External"/><Relationship Id="rId59" Type="http://schemas.openxmlformats.org/officeDocument/2006/relationships/hyperlink" Target="http://www.westlaw.com/Find/Default.wl?rs=dfa1.0&amp;vr=2.0&amp;DB=1538&amp;FindType=Y&amp;SerialNum=2012562481" TargetMode="External"/><Relationship Id="rId70" Type="http://schemas.openxmlformats.org/officeDocument/2006/relationships/hyperlink" Target="http://www.westlaw.com/Find/Default.wl?rs=dfa1.0&amp;vr=2.0&amp;FindType=Y&amp;SerialNum=2012250120" TargetMode="External"/><Relationship Id="rId71" Type="http://schemas.openxmlformats.org/officeDocument/2006/relationships/hyperlink" Target="http://www.westlaw.com/Find/Default.wl?rs=dfa1.0&amp;vr=2.0&amp;FindType=Y&amp;SerialNum=2012277464" TargetMode="External"/><Relationship Id="rId72" Type="http://schemas.openxmlformats.org/officeDocument/2006/relationships/hyperlink" Target="http://www.westlaw.com/Find/Default.wl?rs=dfa1.0&amp;vr=2.0&amp;DB=4311&amp;FindType=Y&amp;SerialNum=2012270257" TargetMode="External"/><Relationship Id="rId73" Type="http://schemas.openxmlformats.org/officeDocument/2006/relationships/hyperlink" Target="http://www.westlaw.com/Find/Default.wl?rs=dfa1.0&amp;vr=2.0&amp;FindType=Y&amp;SerialNum=2012214847" TargetMode="External"/><Relationship Id="rId74" Type="http://schemas.openxmlformats.org/officeDocument/2006/relationships/hyperlink" Target="http://www.westlaw.com/Find/Default.wl?rs=dfa1.0&amp;vr=2.0&amp;DB=164&amp;FindType=Y&amp;SerialNum=2012171335" TargetMode="External"/><Relationship Id="rId75" Type="http://schemas.openxmlformats.org/officeDocument/2006/relationships/hyperlink" Target="http://www.westlaw.com/Find/Default.wl?rs=dfa1.0&amp;vr=2.0&amp;FindType=Y&amp;SerialNum=2012159376" TargetMode="External"/><Relationship Id="rId76" Type="http://schemas.openxmlformats.org/officeDocument/2006/relationships/hyperlink" Target="http://www.westlaw.com/Find/Default.wl?rs=dfa1.0&amp;vr=2.0&amp;DB=4637&amp;FindType=Y&amp;SerialNum=2012129869" TargetMode="External"/><Relationship Id="rId77" Type="http://schemas.openxmlformats.org/officeDocument/2006/relationships/hyperlink" Target="http://www.westlaw.com/Find/Default.wl?rs=dfa1.0&amp;vr=2.0&amp;DB=4145&amp;FindType=Y&amp;SerialNum=2012103825" TargetMode="External"/><Relationship Id="rId78" Type="http://schemas.openxmlformats.org/officeDocument/2006/relationships/hyperlink" Target="http://www.westlaw.com/Find/Default.wl?rs=dfa1.0&amp;vr=2.0&amp;FindType=Y&amp;SerialNum=2011877020" TargetMode="External"/><Relationship Id="rId79" Type="http://schemas.openxmlformats.org/officeDocument/2006/relationships/hyperlink" Target="http://www.westlaw.com/Find/Default.wl?rs=dfa1.0&amp;vr=2.0&amp;DB=4637&amp;FindType=Y&amp;SerialNum=2011889247" TargetMode="External"/><Relationship Id="rId110" Type="http://schemas.openxmlformats.org/officeDocument/2006/relationships/hyperlink" Target="http://www.westlaw.com/Find/Default.wl?rs=dfa1.0&amp;vr=2.0&amp;DB=4637&amp;FindType=Y&amp;SerialNum=2010490470" TargetMode="External"/><Relationship Id="rId90" Type="http://schemas.openxmlformats.org/officeDocument/2006/relationships/hyperlink" Target="http://www.westlaw.com/Find/Default.wl?rs=dfa1.0&amp;vr=2.0&amp;FindType=Y&amp;SerialNum=2011601843" TargetMode="External"/><Relationship Id="rId91" Type="http://schemas.openxmlformats.org/officeDocument/2006/relationships/hyperlink" Target="http://www.westlaw.com/Find/Default.wl?rs=dfa1.0&amp;vr=2.0&amp;FindType=Y&amp;SerialNum=2011509474" TargetMode="External"/><Relationship Id="rId92" Type="http://schemas.openxmlformats.org/officeDocument/2006/relationships/hyperlink" Target="http://www.westlaw.com/Find/Default.wl?rs=dfa1.0&amp;vr=2.0&amp;DB=4637&amp;FindType=Y&amp;SerialNum=2011604717" TargetMode="External"/><Relationship Id="rId93" Type="http://schemas.openxmlformats.org/officeDocument/2006/relationships/hyperlink" Target="http://www.westlaw.com/Find/Default.wl?rs=dfa1.0&amp;vr=2.0&amp;DB=4637&amp;FindType=Y&amp;SerialNum=2011480093" TargetMode="External"/><Relationship Id="rId94" Type="http://schemas.openxmlformats.org/officeDocument/2006/relationships/hyperlink" Target="http://www.westlaw.com/Find/Default.wl?rs=dfa1.0&amp;vr=2.0&amp;DB=4637&amp;FindType=Y&amp;SerialNum=2011391058" TargetMode="External"/><Relationship Id="rId95" Type="http://schemas.openxmlformats.org/officeDocument/2006/relationships/hyperlink" Target="http://www.westlaw.com/Find/Default.wl?rs=dfa1.0&amp;vr=2.0&amp;DB=4637&amp;FindType=Y&amp;SerialNum=2011456109" TargetMode="External"/><Relationship Id="rId96" Type="http://schemas.openxmlformats.org/officeDocument/2006/relationships/hyperlink" Target="http://www.westlaw.com/Find/Default.wl?rs=dfa1.0&amp;vr=2.0&amp;DB=164&amp;FindType=Y&amp;SerialNum=2011372129" TargetMode="External"/><Relationship Id="rId97" Type="http://schemas.openxmlformats.org/officeDocument/2006/relationships/hyperlink" Target="http://www.westlaw.com/Find/Default.wl?rs=dfa1.0&amp;vr=2.0&amp;DB=4637&amp;FindType=Y&amp;SerialNum=2011390599" TargetMode="External"/><Relationship Id="rId98" Type="http://schemas.openxmlformats.org/officeDocument/2006/relationships/hyperlink" Target="http://www.westlaw.com/Find/Default.wl?rs=dfa1.0&amp;vr=2.0&amp;DB=4311&amp;FindType=Y&amp;SerialNum=2011324158" TargetMode="External"/><Relationship Id="rId99" Type="http://schemas.openxmlformats.org/officeDocument/2006/relationships/hyperlink" Target="http://www.westlaw.com/Find/Default.wl?rs=dfa1.0&amp;vr=2.0&amp;FindType=Y&amp;SerialNum=2011324847" TargetMode="External"/><Relationship Id="rId20" Type="http://schemas.openxmlformats.org/officeDocument/2006/relationships/hyperlink" Target="http://www.westlaw.com/Find/Default.wl?rs=dfa1.0&amp;vr=2.0&amp;DB=506&amp;FindType=Y&amp;SerialNum=2012627209" TargetMode="External"/><Relationship Id="rId21" Type="http://schemas.openxmlformats.org/officeDocument/2006/relationships/hyperlink" Target="http://www.westlaw.com/Find/Default.wl?rs=dfa1.0&amp;vr=2.0&amp;DB=506&amp;FindType=Y&amp;SerialNum=2012627815" TargetMode="External"/><Relationship Id="rId22" Type="http://schemas.openxmlformats.org/officeDocument/2006/relationships/hyperlink" Target="http://www.westlaw.com/Find/Default.wl?rs=dfa1.0&amp;vr=2.0&amp;DB=506&amp;FindType=Y&amp;SerialNum=2012545384" TargetMode="External"/><Relationship Id="rId23" Type="http://schemas.openxmlformats.org/officeDocument/2006/relationships/hyperlink" Target="http://www.westlaw.com/Find/Default.wl?rs=dfa1.0&amp;vr=2.0&amp;DB=506&amp;FindType=Y&amp;SerialNum=2012512352" TargetMode="External"/><Relationship Id="rId24" Type="http://schemas.openxmlformats.org/officeDocument/2006/relationships/hyperlink" Target="http://www.westlaw.com/Find/Default.wl?rs=dfa1.0&amp;vr=2.0&amp;DB=6538&amp;FindType=Y&amp;SerialNum=2012443547" TargetMode="External"/><Relationship Id="rId25" Type="http://schemas.openxmlformats.org/officeDocument/2006/relationships/hyperlink" Target="http://www.westlaw.com/Find/Default.wl?rs=dfa1.0&amp;vr=2.0&amp;DB=506&amp;FindType=Y&amp;SerialNum=2012406832" TargetMode="External"/><Relationship Id="rId26" Type="http://schemas.openxmlformats.org/officeDocument/2006/relationships/hyperlink" Target="http://www.westlaw.com/Find/Default.wl?rs=dfa1.0&amp;vr=2.0&amp;DB=506&amp;FindType=Y&amp;SerialNum=2012342246" TargetMode="External"/><Relationship Id="rId27" Type="http://schemas.openxmlformats.org/officeDocument/2006/relationships/hyperlink" Target="http://www.westlaw.com/Find/Default.wl?rs=dfa1.0&amp;vr=2.0&amp;DB=506&amp;FindType=Y&amp;SerialNum=2012302344" TargetMode="External"/><Relationship Id="rId28" Type="http://schemas.openxmlformats.org/officeDocument/2006/relationships/hyperlink" Target="http://www.westlaw.com/Find/Default.wl?rs=dfa1.0&amp;vr=2.0&amp;DB=506&amp;FindType=Y&amp;SerialNum=2012203534" TargetMode="External"/><Relationship Id="rId29" Type="http://schemas.openxmlformats.org/officeDocument/2006/relationships/hyperlink" Target="http://www.westlaw.com/Find/Default.wl?rs=dfa1.0&amp;vr=2.0&amp;DB=506&amp;FindType=Y&amp;SerialNum=2012088650" TargetMode="External"/><Relationship Id="rId40" Type="http://schemas.openxmlformats.org/officeDocument/2006/relationships/hyperlink" Target="http://www.westlaw.com/Find/Default.wl?rs=dfa1.0&amp;vr=2.0&amp;DB=506&amp;FindType=Y&amp;SerialNum=2010555722" TargetMode="External"/><Relationship Id="rId41" Type="http://schemas.openxmlformats.org/officeDocument/2006/relationships/hyperlink" Target="http://www.westlaw.com/Find/Default.wl?rs=dfa1.0&amp;vr=2.0&amp;DB=6538&amp;FindType=Y&amp;SerialNum=2010491788" TargetMode="External"/><Relationship Id="rId42" Type="http://schemas.openxmlformats.org/officeDocument/2006/relationships/hyperlink" Target="http://www.westlaw.com/Find/Default.wl?rs=dfa1.0&amp;vr=2.0&amp;FindType=Y&amp;SerialNum=2013445888" TargetMode="External"/><Relationship Id="rId43" Type="http://schemas.openxmlformats.org/officeDocument/2006/relationships/hyperlink" Target="http://www.westlaw.com/Find/Default.wl?rs=dfa1.0&amp;vr=2.0&amp;DB=4637&amp;FindType=Y&amp;SerialNum=2023085224" TargetMode="External"/><Relationship Id="rId44" Type="http://schemas.openxmlformats.org/officeDocument/2006/relationships/hyperlink" Target="http://www.westlaw.com/Find/Default.wl?rs=dfa1.0&amp;vr=2.0&amp;FindType=Y&amp;SerialNum=2013231098" TargetMode="External"/><Relationship Id="rId45" Type="http://schemas.openxmlformats.org/officeDocument/2006/relationships/hyperlink" Target="http://www.westlaw.com/Find/Default.wl?rs=dfa1.0&amp;vr=2.0&amp;FindType=Y&amp;SerialNum=2013253213" TargetMode="External"/><Relationship Id="rId46" Type="http://schemas.openxmlformats.org/officeDocument/2006/relationships/hyperlink" Target="http://www.westlaw.com/Find/Default.wl?rs=dfa1.0&amp;vr=2.0&amp;DB=4637&amp;FindType=Y&amp;SerialNum=2013221076" TargetMode="External"/><Relationship Id="rId47" Type="http://schemas.openxmlformats.org/officeDocument/2006/relationships/hyperlink" Target="http://www.westlaw.com/Find/Default.wl?rs=dfa1.0&amp;vr=2.0&amp;DB=4637&amp;FindType=Y&amp;SerialNum=2013195331" TargetMode="External"/><Relationship Id="rId48" Type="http://schemas.openxmlformats.org/officeDocument/2006/relationships/hyperlink" Target="http://www.westlaw.com/Find/Default.wl?rs=dfa1.0&amp;vr=2.0&amp;DB=4637&amp;FindType=Y&amp;SerialNum=2013155471" TargetMode="External"/><Relationship Id="rId49" Type="http://schemas.openxmlformats.org/officeDocument/2006/relationships/hyperlink" Target="http://www.westlaw.com/Find/Default.wl?rs=dfa1.0&amp;vr=2.0&amp;FindType=Y&amp;SerialNum=2013181389" TargetMode="External"/><Relationship Id="rId60" Type="http://schemas.openxmlformats.org/officeDocument/2006/relationships/hyperlink" Target="http://www.westlaw.com/Find/Default.wl?rs=dfa1.0&amp;vr=2.0&amp;DB=1538&amp;FindType=Y&amp;SerialNum=2012475852" TargetMode="External"/><Relationship Id="rId61" Type="http://schemas.openxmlformats.org/officeDocument/2006/relationships/hyperlink" Target="http://www.westlaw.com/Find/Default.wl?rs=dfa1.0&amp;vr=2.0&amp;DB=4637&amp;FindType=Y&amp;SerialNum=2012469580" TargetMode="External"/><Relationship Id="rId62" Type="http://schemas.openxmlformats.org/officeDocument/2006/relationships/hyperlink" Target="http://www.westlaw.com/Find/Default.wl?rs=dfa1.0&amp;vr=2.0&amp;DB=4637&amp;FindType=Y&amp;SerialNum=2012411531" TargetMode="External"/><Relationship Id="rId63" Type="http://schemas.openxmlformats.org/officeDocument/2006/relationships/hyperlink" Target="http://www.westlaw.com/Find/Default.wl?rs=dfa1.0&amp;vr=2.0&amp;FindType=Y&amp;SerialNum=2012445742" TargetMode="External"/><Relationship Id="rId64" Type="http://schemas.openxmlformats.org/officeDocument/2006/relationships/hyperlink" Target="http://www.westlaw.com/Find/Default.wl?rs=dfa1.0&amp;vr=2.0&amp;DB=4637&amp;FindType=Y&amp;SerialNum=2012411759" TargetMode="External"/><Relationship Id="rId65" Type="http://schemas.openxmlformats.org/officeDocument/2006/relationships/hyperlink" Target="http://www.westlaw.com/Find/Default.wl?rs=dfa1.0&amp;vr=2.0&amp;DB=863&amp;FindType=Y&amp;SerialNum=2012408787" TargetMode="External"/><Relationship Id="rId66" Type="http://schemas.openxmlformats.org/officeDocument/2006/relationships/hyperlink" Target="http://www.westlaw.com/Find/Default.wl?rs=dfa1.0&amp;vr=2.0&amp;FindType=Y&amp;SerialNum=2012399869" TargetMode="External"/><Relationship Id="rId67" Type="http://schemas.openxmlformats.org/officeDocument/2006/relationships/hyperlink" Target="http://www.westlaw.com/Find/Default.wl?rs=dfa1.0&amp;vr=2.0&amp;FindType=Y&amp;SerialNum=2012389041" TargetMode="External"/><Relationship Id="rId68" Type="http://schemas.openxmlformats.org/officeDocument/2006/relationships/hyperlink" Target="http://www.westlaw.com/Find/Default.wl?rs=dfa1.0&amp;vr=2.0&amp;FindType=Y&amp;SerialNum=2012270565" TargetMode="External"/><Relationship Id="rId69" Type="http://schemas.openxmlformats.org/officeDocument/2006/relationships/hyperlink" Target="http://www.westlaw.com/Find/Default.wl?rs=dfa1.0&amp;vr=2.0&amp;DB=4637&amp;FindType=Y&amp;SerialNum=2012288744" TargetMode="External"/><Relationship Id="rId100" Type="http://schemas.openxmlformats.org/officeDocument/2006/relationships/hyperlink" Target="http://www.westlaw.com/Find/Default.wl?rs=dfa1.0&amp;vr=2.0&amp;FindType=Y&amp;SerialNum=2011339793" TargetMode="External"/><Relationship Id="rId80" Type="http://schemas.openxmlformats.org/officeDocument/2006/relationships/hyperlink" Target="http://www.westlaw.com/Find/Default.wl?rs=dfa1.0&amp;vr=2.0&amp;DB=4637&amp;FindType=Y&amp;SerialNum=2011892991" TargetMode="External"/><Relationship Id="rId81" Type="http://schemas.openxmlformats.org/officeDocument/2006/relationships/hyperlink" Target="http://www.westlaw.com/Find/Default.wl?rs=dfa1.0&amp;vr=2.0&amp;DB=4637&amp;FindType=Y&amp;SerialNum=2011825943" TargetMode="External"/><Relationship Id="rId82" Type="http://schemas.openxmlformats.org/officeDocument/2006/relationships/hyperlink" Target="http://www.westlaw.com/Find/Default.wl?rs=dfa1.0&amp;vr=2.0&amp;DB=4637&amp;FindType=Y&amp;SerialNum=2011827520" TargetMode="External"/><Relationship Id="rId83" Type="http://schemas.openxmlformats.org/officeDocument/2006/relationships/hyperlink" Target="http://www.westlaw.com/Find/Default.wl?rs=dfa1.0&amp;vr=2.0&amp;FindType=Y&amp;SerialNum=2011813659" TargetMode="External"/><Relationship Id="rId84" Type="http://schemas.openxmlformats.org/officeDocument/2006/relationships/hyperlink" Target="http://www.westlaw.com/Find/Default.wl?rs=dfa1.0&amp;vr=2.0&amp;FindType=Y&amp;SerialNum=2011714477" TargetMode="External"/><Relationship Id="rId85" Type="http://schemas.openxmlformats.org/officeDocument/2006/relationships/hyperlink" Target="http://www.westlaw.com/Find/Default.wl?rs=dfa1.0&amp;vr=2.0&amp;FindType=Y&amp;SerialNum=2011648716" TargetMode="External"/><Relationship Id="rId86" Type="http://schemas.openxmlformats.org/officeDocument/2006/relationships/hyperlink" Target="http://www.westlaw.com/Find/Default.wl?rs=dfa1.0&amp;vr=2.0&amp;FindType=Y&amp;SerialNum=2011650240" TargetMode="External"/><Relationship Id="rId87" Type="http://schemas.openxmlformats.org/officeDocument/2006/relationships/hyperlink" Target="http://www.westlaw.com/Find/Default.wl?rs=dfa1.0&amp;vr=2.0&amp;DB=4637&amp;FindType=Y&amp;SerialNum=2011629225" TargetMode="External"/><Relationship Id="rId88" Type="http://schemas.openxmlformats.org/officeDocument/2006/relationships/hyperlink" Target="http://www.westlaw.com/Find/Default.wl?rs=dfa1.0&amp;vr=2.0&amp;DB=4637&amp;FindType=Y&amp;SerialNum=2012171350" TargetMode="External"/><Relationship Id="rId89" Type="http://schemas.openxmlformats.org/officeDocument/2006/relationships/hyperlink" Target="http://www.westlaw.com/Find/Default.wl?rs=dfa1.0&amp;vr=2.0&amp;DB=4637&amp;FindType=Y&amp;SerialNum=2011590959" TargetMode="External"/></Relationships>
</file>

<file path=xl/worksheets/_rels/sheet21.xml.rels><?xml version="1.0" encoding="UTF-8" standalone="yes"?>
<Relationships xmlns="http://schemas.openxmlformats.org/package/2006/relationships"><Relationship Id="rId101" Type="http://schemas.openxmlformats.org/officeDocument/2006/relationships/hyperlink" Target="http://www.westlaw.com/Find/Default.wl?rs=dfa1.0&amp;vr=2.0&amp;FindType=Y&amp;SerialNum=2014892363" TargetMode="External"/><Relationship Id="rId102" Type="http://schemas.openxmlformats.org/officeDocument/2006/relationships/hyperlink" Target="http://www.westlaw.com/Find/Default.wl?rs=dfa1.0&amp;vr=2.0&amp;DB=4637&amp;FindType=Y&amp;SerialNum=2014735975" TargetMode="External"/><Relationship Id="rId103" Type="http://schemas.openxmlformats.org/officeDocument/2006/relationships/hyperlink" Target="http://www.westlaw.com/Find/Default.wl?rs=dfa1.0&amp;vr=2.0&amp;FindType=Y&amp;SerialNum=2017279814" TargetMode="External"/><Relationship Id="rId104" Type="http://schemas.openxmlformats.org/officeDocument/2006/relationships/hyperlink" Target="http://www.westlaw.com/Find/Default.wl?rs=dfa1.0&amp;vr=2.0&amp;DB=164&amp;FindType=Y&amp;SerialNum=2015125168" TargetMode="External"/><Relationship Id="rId105" Type="http://schemas.openxmlformats.org/officeDocument/2006/relationships/hyperlink" Target="http://www.westlaw.com/Find/Default.wl?rs=dfa1.0&amp;vr=2.0&amp;DB=4637&amp;FindType=Y&amp;SerialNum=2014528163" TargetMode="External"/><Relationship Id="rId106" Type="http://schemas.openxmlformats.org/officeDocument/2006/relationships/hyperlink" Target="http://www.westlaw.com/Find/Default.wl?rs=dfa1.0&amp;vr=2.0&amp;DB=4637&amp;FindType=Y&amp;SerialNum=2014528370" TargetMode="External"/><Relationship Id="rId107" Type="http://schemas.openxmlformats.org/officeDocument/2006/relationships/hyperlink" Target="http://www.westlaw.com/Find/Default.wl?rs=dfa1.0&amp;vr=2.0&amp;DB=4637&amp;FindType=Y&amp;SerialNum=2014506356" TargetMode="External"/><Relationship Id="rId1" Type="http://schemas.openxmlformats.org/officeDocument/2006/relationships/hyperlink" Target="http://www.westlaw.com/Find/Default.wl?rs=dfa1.0&amp;vr=2.0&amp;DB=780&amp;FindType=Y&amp;SerialNum=2016385175" TargetMode="External"/><Relationship Id="rId2" Type="http://schemas.openxmlformats.org/officeDocument/2006/relationships/hyperlink" Target="http://www.westlaw.com/Find/Default.wl?rs=dfa1.0&amp;vr=2.0&amp;DB=780&amp;FindType=Y&amp;SerialNum=2016314012" TargetMode="External"/><Relationship Id="rId3" Type="http://schemas.openxmlformats.org/officeDocument/2006/relationships/hyperlink" Target="http://www.westlaw.com/Find/Default.wl?rs=dfa1.0&amp;vr=2.0&amp;DB=780&amp;FindType=Y&amp;SerialNum=2016121453" TargetMode="External"/><Relationship Id="rId4" Type="http://schemas.openxmlformats.org/officeDocument/2006/relationships/hyperlink" Target="http://www.westlaw.com/Find/Default.wl?rs=dfa1.0&amp;vr=2.0&amp;DB=506&amp;FindType=Y&amp;SerialNum=2016966258" TargetMode="External"/><Relationship Id="rId5" Type="http://schemas.openxmlformats.org/officeDocument/2006/relationships/hyperlink" Target="http://www.westlaw.com/Find/Default.wl?rs=dfa1.0&amp;vr=2.0&amp;DB=506&amp;FindType=Y&amp;SerialNum=2016924163" TargetMode="External"/><Relationship Id="rId6" Type="http://schemas.openxmlformats.org/officeDocument/2006/relationships/hyperlink" Target="http://www.westlaw.com/Find/Default.wl?rs=dfa1.0&amp;vr=2.0&amp;DB=506&amp;FindType=Y&amp;SerialNum=2016866237" TargetMode="External"/><Relationship Id="rId7" Type="http://schemas.openxmlformats.org/officeDocument/2006/relationships/hyperlink" Target="http://www.westlaw.com/Find/Default.wl?rs=dfa1.0&amp;vr=2.0&amp;DB=506&amp;FindType=Y&amp;SerialNum=2016837165" TargetMode="External"/><Relationship Id="rId8" Type="http://schemas.openxmlformats.org/officeDocument/2006/relationships/hyperlink" Target="http://www.westlaw.com/Find/Default.wl?rs=dfa1.0&amp;vr=2.0&amp;DB=506&amp;FindType=Y&amp;SerialNum=2016790587" TargetMode="External"/><Relationship Id="rId9" Type="http://schemas.openxmlformats.org/officeDocument/2006/relationships/hyperlink" Target="http://www.westlaw.com/Find/Default.wl?rs=dfa1.0&amp;vr=2.0&amp;DB=6538&amp;FindType=Y&amp;SerialNum=2016772847" TargetMode="External"/><Relationship Id="rId108" Type="http://schemas.openxmlformats.org/officeDocument/2006/relationships/hyperlink" Target="http://www.westlaw.com/Find/Default.wl?rs=dfa1.0&amp;vr=2.0&amp;FindType=Y&amp;SerialNum=2014240247" TargetMode="External"/><Relationship Id="rId109" Type="http://schemas.openxmlformats.org/officeDocument/2006/relationships/hyperlink" Target="http://www.westlaw.com/Find/Default.wl?rs=dfa1.0&amp;vr=2.0&amp;FindType=Y&amp;SerialNum=2014145041" TargetMode="External"/><Relationship Id="rId10" Type="http://schemas.openxmlformats.org/officeDocument/2006/relationships/hyperlink" Target="http://www.westlaw.com/Find/Default.wl?rs=dfa1.0&amp;vr=2.0&amp;DB=506&amp;FindType=Y&amp;SerialNum=2016688713" TargetMode="External"/><Relationship Id="rId11" Type="http://schemas.openxmlformats.org/officeDocument/2006/relationships/hyperlink" Target="http://www.westlaw.com/Find/Default.wl?rs=dfa1.0&amp;vr=2.0&amp;DB=506&amp;FindType=Y&amp;SerialNum=2016669066" TargetMode="External"/><Relationship Id="rId12" Type="http://schemas.openxmlformats.org/officeDocument/2006/relationships/hyperlink" Target="http://www.westlaw.com/Find/Default.wl?rs=dfa1.0&amp;vr=2.0&amp;DB=506&amp;FindType=Y&amp;SerialNum=2016632450" TargetMode="External"/><Relationship Id="rId13" Type="http://schemas.openxmlformats.org/officeDocument/2006/relationships/hyperlink" Target="http://www.westlaw.com/Find/Default.wl?rs=dfa1.0&amp;vr=2.0&amp;DB=506&amp;FindType=Y&amp;SerialNum=2016565781" TargetMode="External"/><Relationship Id="rId14" Type="http://schemas.openxmlformats.org/officeDocument/2006/relationships/hyperlink" Target="http://www.westlaw.com/Find/Default.wl?rs=dfa1.0&amp;vr=2.0&amp;DB=6538&amp;FindType=Y&amp;SerialNum=2016426100" TargetMode="External"/><Relationship Id="rId15" Type="http://schemas.openxmlformats.org/officeDocument/2006/relationships/hyperlink" Target="http://www.westlaw.com/Find/Default.wl?rs=dfa1.0&amp;vr=2.0&amp;DB=506&amp;FindType=Y&amp;SerialNum=2016270446" TargetMode="External"/><Relationship Id="rId16" Type="http://schemas.openxmlformats.org/officeDocument/2006/relationships/hyperlink" Target="http://www.westlaw.com/Find/Default.wl?rs=dfa1.0&amp;vr=2.0&amp;DB=506&amp;FindType=Y&amp;SerialNum=2016224150" TargetMode="External"/><Relationship Id="rId17" Type="http://schemas.openxmlformats.org/officeDocument/2006/relationships/hyperlink" Target="http://www.westlaw.com/Find/Default.wl?rs=dfa1.0&amp;vr=2.0&amp;DB=506&amp;FindType=Y&amp;SerialNum=2016229447" TargetMode="External"/><Relationship Id="rId18" Type="http://schemas.openxmlformats.org/officeDocument/2006/relationships/hyperlink" Target="http://www.westlaw.com/Find/Default.wl?rs=dfa1.0&amp;vr=2.0&amp;DB=506&amp;FindType=Y&amp;SerialNum=2016187169" TargetMode="External"/><Relationship Id="rId19" Type="http://schemas.openxmlformats.org/officeDocument/2006/relationships/hyperlink" Target="http://www.westlaw.com/Find/Default.wl?rs=dfa1.0&amp;vr=2.0&amp;DB=506&amp;FindType=Y&amp;SerialNum=2016178311" TargetMode="External"/><Relationship Id="rId30" Type="http://schemas.openxmlformats.org/officeDocument/2006/relationships/hyperlink" Target="http://www.westlaw.com/Find/Default.wl?rs=dfa1.0&amp;vr=2.0&amp;DB=506&amp;FindType=Y&amp;SerialNum=2015187970" TargetMode="External"/><Relationship Id="rId31" Type="http://schemas.openxmlformats.org/officeDocument/2006/relationships/hyperlink" Target="http://www.westlaw.com/Find/Default.wl?rs=dfa1.0&amp;vr=2.0&amp;DB=506&amp;FindType=Y&amp;SerialNum=2014605642" TargetMode="External"/><Relationship Id="rId32" Type="http://schemas.openxmlformats.org/officeDocument/2006/relationships/hyperlink" Target="http://www.westlaw.com/Find/Default.wl?rs=dfa1.0&amp;vr=2.0&amp;DB=506&amp;FindType=Y&amp;SerialNum=2014465259" TargetMode="External"/><Relationship Id="rId33" Type="http://schemas.openxmlformats.org/officeDocument/2006/relationships/hyperlink" Target="http://www.westlaw.com/Find/Default.wl?rs=dfa1.0&amp;vr=2.0&amp;DB=506&amp;FindType=Y&amp;SerialNum=2014135649" TargetMode="External"/><Relationship Id="rId34" Type="http://schemas.openxmlformats.org/officeDocument/2006/relationships/hyperlink" Target="http://www.westlaw.com/Find/Default.wl?rs=dfa1.0&amp;vr=2.0&amp;DB=6538&amp;FindType=Y&amp;SerialNum=2014113991" TargetMode="External"/><Relationship Id="rId35" Type="http://schemas.openxmlformats.org/officeDocument/2006/relationships/hyperlink" Target="http://www.westlaw.com/Find/Default.wl?rs=dfa1.0&amp;vr=2.0&amp;DB=506&amp;FindType=Y&amp;SerialNum=2013921948" TargetMode="External"/><Relationship Id="rId36" Type="http://schemas.openxmlformats.org/officeDocument/2006/relationships/hyperlink" Target="http://www.westlaw.com/Find/Default.wl?rs=dfa1.0&amp;vr=2.0&amp;DB=506&amp;FindType=Y&amp;SerialNum=2013861049" TargetMode="External"/><Relationship Id="rId37" Type="http://schemas.openxmlformats.org/officeDocument/2006/relationships/hyperlink" Target="http://www.westlaw.com/Find/Default.wl?rs=dfa1.0&amp;vr=2.0&amp;DB=506&amp;FindType=Y&amp;SerialNum=2013816056" TargetMode="External"/><Relationship Id="rId38" Type="http://schemas.openxmlformats.org/officeDocument/2006/relationships/hyperlink" Target="http://www.westlaw.com/Find/Default.wl?rs=dfa1.0&amp;vr=2.0&amp;DB=6538&amp;FindType=Y&amp;SerialNum=2013808080" TargetMode="External"/><Relationship Id="rId39" Type="http://schemas.openxmlformats.org/officeDocument/2006/relationships/hyperlink" Target="http://www.westlaw.com/Find/Default.wl?rs=dfa1.0&amp;vr=2.0&amp;DB=6538&amp;FindType=Y&amp;SerialNum=2013681075" TargetMode="External"/><Relationship Id="rId50" Type="http://schemas.openxmlformats.org/officeDocument/2006/relationships/hyperlink" Target="http://www.westlaw.com/Find/Default.wl?rs=dfa1.0&amp;vr=2.0&amp;DB=4637&amp;FindType=Y&amp;SerialNum=2016910875" TargetMode="External"/><Relationship Id="rId51" Type="http://schemas.openxmlformats.org/officeDocument/2006/relationships/hyperlink" Target="http://www.westlaw.com/Find/Default.wl?rs=dfa1.0&amp;vr=2.0&amp;FindType=Y&amp;SerialNum=2016866989" TargetMode="External"/><Relationship Id="rId52" Type="http://schemas.openxmlformats.org/officeDocument/2006/relationships/hyperlink" Target="http://www.westlaw.com/Find/Default.wl?rs=dfa1.0&amp;vr=2.0&amp;FindType=Y&amp;SerialNum=2016889522" TargetMode="External"/><Relationship Id="rId53" Type="http://schemas.openxmlformats.org/officeDocument/2006/relationships/hyperlink" Target="http://www.westlaw.com/Find/Default.wl?rs=dfa1.0&amp;vr=2.0&amp;FindType=Y&amp;SerialNum=2016893091" TargetMode="External"/><Relationship Id="rId54" Type="http://schemas.openxmlformats.org/officeDocument/2006/relationships/hyperlink" Target="http://www.westlaw.com/Find/Default.wl?rs=dfa1.0&amp;vr=2.0&amp;DB=4637&amp;FindType=Y&amp;SerialNum=2016737753" TargetMode="External"/><Relationship Id="rId55" Type="http://schemas.openxmlformats.org/officeDocument/2006/relationships/hyperlink" Target="http://www.westlaw.com/Find/Default.wl?rs=dfa1.0&amp;vr=2.0&amp;FindType=Y&amp;SerialNum=2017153641" TargetMode="External"/><Relationship Id="rId56" Type="http://schemas.openxmlformats.org/officeDocument/2006/relationships/hyperlink" Target="http://www.westlaw.com/Find/Default.wl?rs=dfa1.0&amp;vr=2.0&amp;DB=26&amp;FindType=Y&amp;SerialNum=2016718741" TargetMode="External"/><Relationship Id="rId57" Type="http://schemas.openxmlformats.org/officeDocument/2006/relationships/hyperlink" Target="http://www.westlaw.com/Find/Default.wl?rs=dfa1.0&amp;vr=2.0&amp;FindType=Y&amp;SerialNum=2016716224" TargetMode="External"/><Relationship Id="rId58" Type="http://schemas.openxmlformats.org/officeDocument/2006/relationships/hyperlink" Target="http://www.westlaw.com/Find/Default.wl?rs=dfa1.0&amp;vr=2.0&amp;DB=4637&amp;FindType=Y&amp;SerialNum=2016669074" TargetMode="External"/><Relationship Id="rId59" Type="http://schemas.openxmlformats.org/officeDocument/2006/relationships/hyperlink" Target="http://www.westlaw.com/Find/Default.wl?rs=dfa1.0&amp;vr=2.0&amp;DB=4637&amp;FindType=Y&amp;SerialNum=2016693492" TargetMode="External"/><Relationship Id="rId70" Type="http://schemas.openxmlformats.org/officeDocument/2006/relationships/hyperlink" Target="http://www.westlaw.com/Find/Default.wl?rs=dfa1.0&amp;vr=2.0&amp;FindType=Y&amp;SerialNum=2016145240" TargetMode="External"/><Relationship Id="rId71" Type="http://schemas.openxmlformats.org/officeDocument/2006/relationships/hyperlink" Target="http://www.westlaw.com/Find/Default.wl?rs=dfa1.0&amp;vr=2.0&amp;FindType=Y&amp;SerialNum=2016932106" TargetMode="External"/><Relationship Id="rId72" Type="http://schemas.openxmlformats.org/officeDocument/2006/relationships/hyperlink" Target="http://www.westlaw.com/Find/Default.wl?rs=dfa1.0&amp;vr=2.0&amp;DB=4637&amp;FindType=Y&amp;SerialNum=2016087041" TargetMode="External"/><Relationship Id="rId73" Type="http://schemas.openxmlformats.org/officeDocument/2006/relationships/hyperlink" Target="http://www.westlaw.com/Find/Default.wl?rs=dfa1.0&amp;vr=2.0&amp;FindType=Y&amp;SerialNum=2016095499" TargetMode="External"/><Relationship Id="rId74" Type="http://schemas.openxmlformats.org/officeDocument/2006/relationships/hyperlink" Target="http://www.westlaw.com/Find/Default.wl?rs=dfa1.0&amp;vr=2.0&amp;DB=4637&amp;FindType=Y&amp;SerialNum=2015983713" TargetMode="External"/><Relationship Id="rId75" Type="http://schemas.openxmlformats.org/officeDocument/2006/relationships/hyperlink" Target="http://www.westlaw.com/Find/Default.wl?rs=dfa1.0&amp;vr=2.0&amp;FindType=Y&amp;SerialNum=2015961124" TargetMode="External"/><Relationship Id="rId76" Type="http://schemas.openxmlformats.org/officeDocument/2006/relationships/hyperlink" Target="http://www.westlaw.com/Find/Default.wl?rs=dfa1.0&amp;vr=2.0&amp;FindType=Y&amp;SerialNum=2015948089" TargetMode="External"/><Relationship Id="rId77" Type="http://schemas.openxmlformats.org/officeDocument/2006/relationships/hyperlink" Target="http://www.westlaw.com/Find/Default.wl?rs=dfa1.0&amp;vr=2.0&amp;DB=4637&amp;FindType=Y&amp;SerialNum=2015910398" TargetMode="External"/><Relationship Id="rId78" Type="http://schemas.openxmlformats.org/officeDocument/2006/relationships/hyperlink" Target="http://www.westlaw.com/Find/Default.wl?rs=dfa1.0&amp;vr=2.0&amp;FindType=Y&amp;SerialNum=2015891732" TargetMode="External"/><Relationship Id="rId79" Type="http://schemas.openxmlformats.org/officeDocument/2006/relationships/hyperlink" Target="http://www.westlaw.com/Find/Default.wl?rs=dfa1.0&amp;vr=2.0&amp;FindType=Y&amp;SerialNum=2015815275" TargetMode="External"/><Relationship Id="rId110" Type="http://schemas.openxmlformats.org/officeDocument/2006/relationships/hyperlink" Target="http://www.westlaw.com/Find/Default.wl?rs=dfa1.0&amp;vr=2.0&amp;DB=4637&amp;FindType=Y&amp;SerialNum=2014087259" TargetMode="External"/><Relationship Id="rId90" Type="http://schemas.openxmlformats.org/officeDocument/2006/relationships/hyperlink" Target="http://www.westlaw.com/Find/Default.wl?rs=dfa1.0&amp;vr=2.0&amp;DB=4637&amp;FindType=Y&amp;SerialNum=2015342561" TargetMode="External"/><Relationship Id="rId91" Type="http://schemas.openxmlformats.org/officeDocument/2006/relationships/hyperlink" Target="http://www.westlaw.com/Find/Default.wl?rs=dfa1.0&amp;vr=2.0&amp;DB=4637&amp;FindType=Y&amp;SerialNum=2015273872" TargetMode="External"/><Relationship Id="rId92" Type="http://schemas.openxmlformats.org/officeDocument/2006/relationships/hyperlink" Target="http://www.westlaw.com/Find/Default.wl?rs=dfa1.0&amp;vr=2.0&amp;DB=25&amp;FindType=Y&amp;SerialNum=2015251757" TargetMode="External"/><Relationship Id="rId93" Type="http://schemas.openxmlformats.org/officeDocument/2006/relationships/hyperlink" Target="http://www.westlaw.com/Find/Default.wl?rs=dfa1.0&amp;vr=2.0&amp;FindType=Y&amp;SerialNum=2015246888" TargetMode="External"/><Relationship Id="rId94" Type="http://schemas.openxmlformats.org/officeDocument/2006/relationships/hyperlink" Target="http://www.westlaw.com/Find/Default.wl?rs=dfa1.0&amp;vr=2.0&amp;FindType=Y&amp;SerialNum=2015172192" TargetMode="External"/><Relationship Id="rId95" Type="http://schemas.openxmlformats.org/officeDocument/2006/relationships/hyperlink" Target="http://www.westlaw.com/Find/Default.wl?rs=dfa1.0&amp;vr=2.0&amp;DB=4637&amp;FindType=Y&amp;SerialNum=2015404071" TargetMode="External"/><Relationship Id="rId96" Type="http://schemas.openxmlformats.org/officeDocument/2006/relationships/hyperlink" Target="http://www.westlaw.com/Find/Default.wl?rs=dfa1.0&amp;vr=2.0&amp;FindType=Y&amp;SerialNum=2015106912" TargetMode="External"/><Relationship Id="rId97" Type="http://schemas.openxmlformats.org/officeDocument/2006/relationships/hyperlink" Target="http://www.westlaw.com/Find/Default.wl?rs=dfa1.0&amp;vr=2.0&amp;FindType=Y&amp;SerialNum=2014916428" TargetMode="External"/><Relationship Id="rId98" Type="http://schemas.openxmlformats.org/officeDocument/2006/relationships/hyperlink" Target="http://www.westlaw.com/Find/Default.wl?rs=dfa1.0&amp;vr=2.0&amp;DB=4637&amp;FindType=Y&amp;SerialNum=2014958951" TargetMode="External"/><Relationship Id="rId99" Type="http://schemas.openxmlformats.org/officeDocument/2006/relationships/hyperlink" Target="http://www.westlaw.com/Find/Default.wl?rs=dfa1.0&amp;vr=2.0&amp;DB=4637&amp;FindType=Y&amp;SerialNum=2015173754" TargetMode="External"/><Relationship Id="rId111" Type="http://schemas.openxmlformats.org/officeDocument/2006/relationships/hyperlink" Target="http://www.westlaw.com/Find/Default.wl?rs=dfa1.0&amp;vr=2.0&amp;DB=164&amp;FindType=Y&amp;SerialNum=2014247024" TargetMode="External"/><Relationship Id="rId112" Type="http://schemas.openxmlformats.org/officeDocument/2006/relationships/hyperlink" Target="http://www.westlaw.com/Find/Default.wl?rs=dfa1.0&amp;vr=2.0&amp;FindType=Y&amp;SerialNum=2013921966" TargetMode="External"/><Relationship Id="rId113" Type="http://schemas.openxmlformats.org/officeDocument/2006/relationships/hyperlink" Target="http://www.westlaw.com/Find/Default.wl?rs=dfa1.0&amp;vr=2.0&amp;DB=76&amp;FindType=Y&amp;SerialNum=2013915703" TargetMode="External"/><Relationship Id="rId114" Type="http://schemas.openxmlformats.org/officeDocument/2006/relationships/hyperlink" Target="http://www.westlaw.com/Find/Default.wl?rs=dfa1.0&amp;vr=2.0&amp;DB=4637&amp;FindType=Y&amp;SerialNum=2013721784" TargetMode="External"/><Relationship Id="rId115" Type="http://schemas.openxmlformats.org/officeDocument/2006/relationships/hyperlink" Target="http://www.westlaw.com/Find/Default.wl?rs=dfa1.0&amp;vr=2.0&amp;FindType=Y&amp;SerialNum=2013681783" TargetMode="External"/><Relationship Id="rId116" Type="http://schemas.openxmlformats.org/officeDocument/2006/relationships/hyperlink" Target="http://www.westlaw.com/Find/Default.wl?rs=dfa1.0&amp;vr=2.0&amp;FindType=Y&amp;SerialNum=2013625278" TargetMode="External"/><Relationship Id="rId117" Type="http://schemas.openxmlformats.org/officeDocument/2006/relationships/hyperlink" Target="http://www.westlaw.com/Find/Default.wl?rs=dfa1.0&amp;vr=2.0&amp;DB=4637&amp;FindType=Y&amp;SerialNum=2013392480" TargetMode="External"/><Relationship Id="rId118" Type="http://schemas.openxmlformats.org/officeDocument/2006/relationships/hyperlink" Target="http://www.westlaw.com/Find/Default.wl?rs=dfa1.0&amp;vr=2.0&amp;DB=1051&amp;FindType=Y&amp;SerialNum=2016140501" TargetMode="External"/><Relationship Id="rId20" Type="http://schemas.openxmlformats.org/officeDocument/2006/relationships/hyperlink" Target="http://www.westlaw.com/Find/Default.wl?rs=dfa1.0&amp;vr=2.0&amp;DB=506&amp;FindType=Y&amp;SerialNum=2016146239" TargetMode="External"/><Relationship Id="rId21" Type="http://schemas.openxmlformats.org/officeDocument/2006/relationships/hyperlink" Target="http://www.westlaw.com/Find/Default.wl?rs=dfa1.0&amp;vr=2.0&amp;DB=506&amp;FindType=Y&amp;SerialNum=2015870202" TargetMode="External"/><Relationship Id="rId22" Type="http://schemas.openxmlformats.org/officeDocument/2006/relationships/hyperlink" Target="http://www.westlaw.com/Find/Default.wl?rs=dfa1.0&amp;vr=2.0&amp;DB=506&amp;FindType=Y&amp;SerialNum=2015865563" TargetMode="External"/><Relationship Id="rId23" Type="http://schemas.openxmlformats.org/officeDocument/2006/relationships/hyperlink" Target="http://www.westlaw.com/Find/Default.wl?rs=dfa1.0&amp;vr=2.0&amp;DB=506&amp;FindType=Y&amp;SerialNum=2015856396" TargetMode="External"/><Relationship Id="rId24" Type="http://schemas.openxmlformats.org/officeDocument/2006/relationships/hyperlink" Target="http://www.westlaw.com/Find/Default.wl?rs=dfa1.0&amp;vr=2.0&amp;DB=506&amp;FindType=Y&amp;SerialNum=2015821705" TargetMode="External"/><Relationship Id="rId25" Type="http://schemas.openxmlformats.org/officeDocument/2006/relationships/hyperlink" Target="http://www.westlaw.com/Find/Default.wl?rs=dfa1.0&amp;vr=2.0&amp;DB=506&amp;FindType=Y&amp;SerialNum=2015744179" TargetMode="External"/><Relationship Id="rId26" Type="http://schemas.openxmlformats.org/officeDocument/2006/relationships/hyperlink" Target="http://www.westlaw.com/Find/Default.wl?rs=dfa1.0&amp;vr=2.0&amp;DB=506&amp;FindType=Y&amp;SerialNum=2015725725" TargetMode="External"/><Relationship Id="rId27" Type="http://schemas.openxmlformats.org/officeDocument/2006/relationships/hyperlink" Target="http://www.westlaw.com/Find/Default.wl?rs=dfa1.0&amp;vr=2.0&amp;DB=506&amp;FindType=Y&amp;SerialNum=2015717095" TargetMode="External"/><Relationship Id="rId28" Type="http://schemas.openxmlformats.org/officeDocument/2006/relationships/hyperlink" Target="http://www.westlaw.com/Find/Default.wl?rs=dfa1.0&amp;vr=2.0&amp;DB=506&amp;FindType=Y&amp;SerialNum=2015665661" TargetMode="External"/><Relationship Id="rId29" Type="http://schemas.openxmlformats.org/officeDocument/2006/relationships/hyperlink" Target="http://www.westlaw.com/Find/Default.wl?rs=dfa1.0&amp;vr=2.0&amp;DB=506&amp;FindType=Y&amp;SerialNum=2015487680" TargetMode="External"/><Relationship Id="rId40" Type="http://schemas.openxmlformats.org/officeDocument/2006/relationships/hyperlink" Target="http://www.westlaw.com/Find/Default.wl?rs=dfa1.0&amp;vr=2.0&amp;DB=1554&amp;FindType=Y&amp;SerialNum=2017201742" TargetMode="External"/><Relationship Id="rId41" Type="http://schemas.openxmlformats.org/officeDocument/2006/relationships/hyperlink" Target="http://www.westlaw.com/Find/Default.wl?rs=dfa1.0&amp;vr=2.0&amp;DB=4637&amp;FindType=Y&amp;SerialNum=2017202246" TargetMode="External"/><Relationship Id="rId42" Type="http://schemas.openxmlformats.org/officeDocument/2006/relationships/hyperlink" Target="http://www.westlaw.com/Find/Default.wl?rs=dfa1.0&amp;vr=2.0&amp;FindType=Y&amp;SerialNum=2017204208" TargetMode="External"/><Relationship Id="rId43" Type="http://schemas.openxmlformats.org/officeDocument/2006/relationships/hyperlink" Target="http://www.westlaw.com/Find/Default.wl?rs=dfa1.0&amp;vr=2.0&amp;FindType=Y&amp;SerialNum=2017181455" TargetMode="External"/><Relationship Id="rId44" Type="http://schemas.openxmlformats.org/officeDocument/2006/relationships/hyperlink" Target="http://www.westlaw.com/Find/Default.wl?rs=dfa1.0&amp;vr=2.0&amp;DB=4637&amp;FindType=Y&amp;SerialNum=2017147451" TargetMode="External"/><Relationship Id="rId45" Type="http://schemas.openxmlformats.org/officeDocument/2006/relationships/hyperlink" Target="http://www.westlaw.com/Find/Default.wl?rs=dfa1.0&amp;vr=2.0&amp;FindType=Y&amp;SerialNum=2017103330" TargetMode="External"/><Relationship Id="rId46" Type="http://schemas.openxmlformats.org/officeDocument/2006/relationships/hyperlink" Target="http://www.westlaw.com/Find/Default.wl?rs=dfa1.0&amp;vr=2.0&amp;FindType=Y&amp;SerialNum=2016966387" TargetMode="External"/><Relationship Id="rId47" Type="http://schemas.openxmlformats.org/officeDocument/2006/relationships/hyperlink" Target="http://www.westlaw.com/Find/Default.wl?rs=dfa1.0&amp;vr=2.0&amp;FindType=Y&amp;SerialNum=2016966392" TargetMode="External"/><Relationship Id="rId48" Type="http://schemas.openxmlformats.org/officeDocument/2006/relationships/hyperlink" Target="http://www.westlaw.com/Find/Default.wl?rs=dfa1.0&amp;vr=2.0&amp;FindType=Y&amp;SerialNum=2016977228" TargetMode="External"/><Relationship Id="rId49" Type="http://schemas.openxmlformats.org/officeDocument/2006/relationships/hyperlink" Target="http://www.westlaw.com/Find/Default.wl?rs=dfa1.0&amp;vr=2.0&amp;FindType=Y&amp;SerialNum=2016945585" TargetMode="External"/><Relationship Id="rId60" Type="http://schemas.openxmlformats.org/officeDocument/2006/relationships/hyperlink" Target="http://www.westlaw.com/Find/Default.wl?rs=dfa1.0&amp;vr=2.0&amp;FindType=Y&amp;SerialNum=2016694377" TargetMode="External"/><Relationship Id="rId61" Type="http://schemas.openxmlformats.org/officeDocument/2006/relationships/hyperlink" Target="http://www.westlaw.com/Find/Default.wl?rs=dfa1.0&amp;vr=2.0&amp;DB=4637&amp;FindType=Y&amp;SerialNum=2016612295" TargetMode="External"/><Relationship Id="rId62" Type="http://schemas.openxmlformats.org/officeDocument/2006/relationships/hyperlink" Target="http://www.westlaw.com/Find/Default.wl?rs=dfa1.0&amp;vr=2.0&amp;DB=4637&amp;FindType=Y&amp;SerialNum=2016974155" TargetMode="External"/><Relationship Id="rId63" Type="http://schemas.openxmlformats.org/officeDocument/2006/relationships/hyperlink" Target="http://www.westlaw.com/Find/Default.wl?rs=dfa1.0&amp;vr=2.0&amp;DB=4637&amp;FindType=Y&amp;SerialNum=2016942396" TargetMode="External"/><Relationship Id="rId64" Type="http://schemas.openxmlformats.org/officeDocument/2006/relationships/hyperlink" Target="http://www.westlaw.com/Find/Default.wl?rs=dfa1.0&amp;vr=2.0&amp;FindType=Y&amp;SerialNum=2016311342" TargetMode="External"/><Relationship Id="rId65" Type="http://schemas.openxmlformats.org/officeDocument/2006/relationships/hyperlink" Target="http://www.westlaw.com/Find/Default.wl?rs=dfa1.0&amp;vr=2.0&amp;FindType=Y&amp;SerialNum=2016315933" TargetMode="External"/><Relationship Id="rId66" Type="http://schemas.openxmlformats.org/officeDocument/2006/relationships/hyperlink" Target="http://www.westlaw.com/Find/Default.wl?rs=dfa1.0&amp;vr=2.0&amp;FindType=Y&amp;SerialNum=2016315930" TargetMode="External"/><Relationship Id="rId67" Type="http://schemas.openxmlformats.org/officeDocument/2006/relationships/hyperlink" Target="http://www.westlaw.com/Find/Default.wl?rs=dfa1.0&amp;vr=2.0&amp;DB=4637&amp;FindType=Y&amp;SerialNum=2016205078" TargetMode="External"/><Relationship Id="rId68" Type="http://schemas.openxmlformats.org/officeDocument/2006/relationships/hyperlink" Target="http://www.westlaw.com/Find/Default.wl?rs=dfa1.0&amp;vr=2.0&amp;DB=4637&amp;FindType=Y&amp;SerialNum=2016132744" TargetMode="External"/><Relationship Id="rId69" Type="http://schemas.openxmlformats.org/officeDocument/2006/relationships/hyperlink" Target="http://www.westlaw.com/Find/Default.wl?rs=dfa1.0&amp;vr=2.0&amp;FindType=Y&amp;SerialNum=2016126240" TargetMode="External"/><Relationship Id="rId100" Type="http://schemas.openxmlformats.org/officeDocument/2006/relationships/hyperlink" Target="http://www.westlaw.com/Find/Default.wl?rs=dfa1.0&amp;vr=2.0&amp;FindType=Y&amp;SerialNum=2014901207" TargetMode="External"/><Relationship Id="rId80" Type="http://schemas.openxmlformats.org/officeDocument/2006/relationships/hyperlink" Target="http://www.westlaw.com/Find/Default.wl?rs=dfa1.0&amp;vr=2.0&amp;DB=4637&amp;FindType=Y&amp;SerialNum=2015821821" TargetMode="External"/><Relationship Id="rId81" Type="http://schemas.openxmlformats.org/officeDocument/2006/relationships/hyperlink" Target="http://www.westlaw.com/Find/Default.wl?rs=dfa1.0&amp;vr=2.0&amp;DB=4637&amp;FindType=Y&amp;SerialNum=2015776110" TargetMode="External"/><Relationship Id="rId82" Type="http://schemas.openxmlformats.org/officeDocument/2006/relationships/hyperlink" Target="http://www.westlaw.com/Find/Default.wl?rs=dfa1.0&amp;vr=2.0&amp;FindType=Y&amp;SerialNum=2015648228" TargetMode="External"/><Relationship Id="rId83" Type="http://schemas.openxmlformats.org/officeDocument/2006/relationships/hyperlink" Target="http://www.westlaw.com/Find/Default.wl?rs=dfa1.0&amp;vr=2.0&amp;FindType=Y&amp;SerialNum=2015661725" TargetMode="External"/><Relationship Id="rId84" Type="http://schemas.openxmlformats.org/officeDocument/2006/relationships/hyperlink" Target="http://www.westlaw.com/Find/Default.wl?rs=dfa1.0&amp;vr=2.0&amp;FindType=Y&amp;SerialNum=2018690867" TargetMode="External"/><Relationship Id="rId85" Type="http://schemas.openxmlformats.org/officeDocument/2006/relationships/hyperlink" Target="http://www.westlaw.com/Find/Default.wl?rs=dfa1.0&amp;vr=2.0&amp;FindType=Y&amp;SerialNum=2015570813" TargetMode="External"/><Relationship Id="rId86" Type="http://schemas.openxmlformats.org/officeDocument/2006/relationships/hyperlink" Target="http://www.westlaw.com/Find/Default.wl?rs=dfa1.0&amp;vr=2.0&amp;FindType=Y&amp;SerialNum=2015553538" TargetMode="External"/><Relationship Id="rId87" Type="http://schemas.openxmlformats.org/officeDocument/2006/relationships/hyperlink" Target="http://www.westlaw.com/Find/Default.wl?rs=dfa1.0&amp;vr=2.0&amp;FindType=Y&amp;SerialNum=2015505988" TargetMode="External"/><Relationship Id="rId88" Type="http://schemas.openxmlformats.org/officeDocument/2006/relationships/hyperlink" Target="http://www.westlaw.com/Find/Default.wl?rs=dfa1.0&amp;vr=2.0&amp;FindType=Y&amp;SerialNum=2015443430" TargetMode="External"/><Relationship Id="rId89" Type="http://schemas.openxmlformats.org/officeDocument/2006/relationships/hyperlink" Target="http://www.westlaw.com/Find/Default.wl?rs=dfa1.0&amp;vr=2.0&amp;FindType=Y&amp;SerialNum=2015410526" TargetMode="External"/></Relationships>
</file>

<file path=xl/worksheets/_rels/sheet22.xml.rels><?xml version="1.0" encoding="UTF-8" standalone="yes"?>
<Relationships xmlns="http://schemas.openxmlformats.org/package/2006/relationships"><Relationship Id="rId10" Type="http://schemas.openxmlformats.org/officeDocument/2006/relationships/hyperlink" Target="http://www.westlaw.com/Find/Default.wl?rs=dfa1.0&amp;vr=2.0&amp;DB=6538&amp;FindType=Y&amp;SerialNum=2019720658" TargetMode="External"/><Relationship Id="rId11" Type="http://schemas.openxmlformats.org/officeDocument/2006/relationships/hyperlink" Target="http://www.westlaw.com/Find/Default.wl?rs=dfa1.0&amp;vr=2.0&amp;DB=506&amp;FindType=Y&amp;SerialNum=2019621330" TargetMode="External"/><Relationship Id="rId12" Type="http://schemas.openxmlformats.org/officeDocument/2006/relationships/hyperlink" Target="http://www.westlaw.com/Find/Default.wl?rs=dfa1.0&amp;vr=2.0&amp;DB=506&amp;FindType=Y&amp;SerialNum=2019619424" TargetMode="External"/><Relationship Id="rId13" Type="http://schemas.openxmlformats.org/officeDocument/2006/relationships/hyperlink" Target="http://www.westlaw.com/Find/Default.wl?rs=dfa1.0&amp;vr=2.0&amp;DB=506&amp;FindType=Y&amp;SerialNum=2019595590" TargetMode="External"/><Relationship Id="rId14" Type="http://schemas.openxmlformats.org/officeDocument/2006/relationships/hyperlink" Target="http://www.westlaw.com/Find/Default.wl?rs=dfa1.0&amp;vr=2.0&amp;DB=506&amp;FindType=Y&amp;SerialNum=2019606257" TargetMode="External"/><Relationship Id="rId15" Type="http://schemas.openxmlformats.org/officeDocument/2006/relationships/hyperlink" Target="http://www.westlaw.com/Find/Default.wl?rs=dfa1.0&amp;vr=2.0&amp;DB=506&amp;FindType=Y&amp;SerialNum=2019580332" TargetMode="External"/><Relationship Id="rId16" Type="http://schemas.openxmlformats.org/officeDocument/2006/relationships/hyperlink" Target="http://www.westlaw.com/Find/Default.wl?rs=dfa1.0&amp;vr=2.0&amp;DB=506&amp;FindType=Y&amp;SerialNum=2019570495" TargetMode="External"/><Relationship Id="rId17" Type="http://schemas.openxmlformats.org/officeDocument/2006/relationships/hyperlink" Target="http://www.westlaw.com/Find/Default.wl?rs=dfa1.0&amp;vr=2.0&amp;DB=6538&amp;FindType=Y&amp;SerialNum=2019550354" TargetMode="External"/><Relationship Id="rId18" Type="http://schemas.openxmlformats.org/officeDocument/2006/relationships/hyperlink" Target="http://www.westlaw.com/Find/Default.wl?rs=dfa1.0&amp;vr=2.0&amp;DB=506&amp;FindType=Y&amp;SerialNum=2019525755" TargetMode="External"/><Relationship Id="rId19" Type="http://schemas.openxmlformats.org/officeDocument/2006/relationships/hyperlink" Target="http://www.westlaw.com/Find/Default.wl?rs=dfa1.0&amp;vr=2.0&amp;DB=506&amp;FindType=Y&amp;SerialNum=2019466905" TargetMode="External"/><Relationship Id="rId60" Type="http://schemas.openxmlformats.org/officeDocument/2006/relationships/hyperlink" Target="http://www.westlaw.com/Find/Default.wl?rs=dfa1.0&amp;vr=2.0&amp;DB=26&amp;FindType=Y&amp;SerialNum=2019967392" TargetMode="External"/><Relationship Id="rId61" Type="http://schemas.openxmlformats.org/officeDocument/2006/relationships/hyperlink" Target="http://www.westlaw.com/Find/Default.wl?rs=dfa1.0&amp;vr=2.0&amp;FindType=Y&amp;SerialNum=2019986731" TargetMode="External"/><Relationship Id="rId62" Type="http://schemas.openxmlformats.org/officeDocument/2006/relationships/hyperlink" Target="http://www.westlaw.com/Find/Default.wl?rs=dfa1.0&amp;vr=2.0&amp;FindType=Y&amp;SerialNum=2020067917" TargetMode="External"/><Relationship Id="rId63" Type="http://schemas.openxmlformats.org/officeDocument/2006/relationships/hyperlink" Target="http://www.westlaw.com/Find/Default.wl?rs=dfa1.0&amp;vr=2.0&amp;FindType=Y&amp;SerialNum=2020073367" TargetMode="External"/><Relationship Id="rId64" Type="http://schemas.openxmlformats.org/officeDocument/2006/relationships/hyperlink" Target="http://www.westlaw.com/Find/Default.wl?rs=dfa1.0&amp;vr=2.0&amp;FindType=Y&amp;SerialNum=2019974404" TargetMode="External"/><Relationship Id="rId65" Type="http://schemas.openxmlformats.org/officeDocument/2006/relationships/hyperlink" Target="http://www.westlaw.com/Find/Default.wl?rs=dfa1.0&amp;vr=2.0&amp;DB=4637&amp;FindType=Y&amp;SerialNum=2020070436" TargetMode="External"/><Relationship Id="rId66" Type="http://schemas.openxmlformats.org/officeDocument/2006/relationships/hyperlink" Target="http://www.westlaw.com/Find/Default.wl?rs=dfa1.0&amp;vr=2.0&amp;DB=4637&amp;FindType=Y&amp;SerialNum=2019914646" TargetMode="External"/><Relationship Id="rId67" Type="http://schemas.openxmlformats.org/officeDocument/2006/relationships/hyperlink" Target="http://www.westlaw.com/Find/Default.wl?rs=dfa1.0&amp;vr=2.0&amp;DB=4637&amp;FindType=Y&amp;SerialNum=2019870981" TargetMode="External"/><Relationship Id="rId68" Type="http://schemas.openxmlformats.org/officeDocument/2006/relationships/hyperlink" Target="http://www.westlaw.com/Find/Default.wl?rs=dfa1.0&amp;vr=2.0&amp;FindType=Y&amp;SerialNum=2019825304" TargetMode="External"/><Relationship Id="rId69" Type="http://schemas.openxmlformats.org/officeDocument/2006/relationships/hyperlink" Target="http://www.westlaw.com/Find/Default.wl?rs=dfa1.0&amp;vr=2.0&amp;DB=4637&amp;FindType=Y&amp;SerialNum=2020127004" TargetMode="External"/><Relationship Id="rId120" Type="http://schemas.openxmlformats.org/officeDocument/2006/relationships/hyperlink" Target="http://www.westlaw.com/Find/Default.wl?rs=dfa1.0&amp;vr=2.0&amp;DB=4637&amp;FindType=Y&amp;SerialNum=2017906370" TargetMode="External"/><Relationship Id="rId121" Type="http://schemas.openxmlformats.org/officeDocument/2006/relationships/hyperlink" Target="http://www.westlaw.com/Find/Default.wl?rs=dfa1.0&amp;vr=2.0&amp;DB=1538&amp;FindType=Y&amp;SerialNum=2017907327" TargetMode="External"/><Relationship Id="rId122" Type="http://schemas.openxmlformats.org/officeDocument/2006/relationships/hyperlink" Target="http://www.westlaw.com/Find/Default.wl?rs=dfa1.0&amp;vr=2.0&amp;DB=164&amp;FindType=Y&amp;SerialNum=2017922799" TargetMode="External"/><Relationship Id="rId123" Type="http://schemas.openxmlformats.org/officeDocument/2006/relationships/hyperlink" Target="http://www.westlaw.com/Find/Default.wl?rs=dfa1.0&amp;vr=2.0&amp;FindType=Y&amp;SerialNum=2018120570" TargetMode="External"/><Relationship Id="rId124" Type="http://schemas.openxmlformats.org/officeDocument/2006/relationships/hyperlink" Target="http://www.westlaw.com/Find/Default.wl?rs=dfa1.0&amp;vr=2.0&amp;FindType=Y&amp;SerialNum=2017864744" TargetMode="External"/><Relationship Id="rId125" Type="http://schemas.openxmlformats.org/officeDocument/2006/relationships/hyperlink" Target="http://www.westlaw.com/Find/Default.wl?rs=dfa1.0&amp;vr=2.0&amp;DB=870&amp;FindType=Y&amp;SerialNum=2017806882" TargetMode="External"/><Relationship Id="rId126" Type="http://schemas.openxmlformats.org/officeDocument/2006/relationships/hyperlink" Target="http://www.westlaw.com/Find/Default.wl?rs=dfa1.0&amp;vr=2.0&amp;DB=4637&amp;FindType=Y&amp;SerialNum=2017689281" TargetMode="External"/><Relationship Id="rId127" Type="http://schemas.openxmlformats.org/officeDocument/2006/relationships/hyperlink" Target="http://www.westlaw.com/Find/Default.wl?rs=dfa1.0&amp;vr=2.0&amp;DB=4637&amp;FindType=Y&amp;SerialNum=2017677136" TargetMode="External"/><Relationship Id="rId128" Type="http://schemas.openxmlformats.org/officeDocument/2006/relationships/hyperlink" Target="http://www.westlaw.com/Find/Default.wl?rs=dfa1.0&amp;vr=2.0&amp;DB=4637&amp;FindType=Y&amp;SerialNum=2017621773" TargetMode="External"/><Relationship Id="rId129" Type="http://schemas.openxmlformats.org/officeDocument/2006/relationships/hyperlink" Target="http://www.westlaw.com/Find/Default.wl?rs=dfa1.0&amp;vr=2.0&amp;DB=4637&amp;FindType=Y&amp;SerialNum=2017491263" TargetMode="External"/><Relationship Id="rId40" Type="http://schemas.openxmlformats.org/officeDocument/2006/relationships/hyperlink" Target="http://www.westlaw.com/Find/Default.wl?rs=dfa1.0&amp;vr=2.0&amp;DB=506&amp;FindType=Y&amp;SerialNum=2018208155" TargetMode="External"/><Relationship Id="rId41" Type="http://schemas.openxmlformats.org/officeDocument/2006/relationships/hyperlink" Target="http://www.westlaw.com/Find/Default.wl?rs=dfa1.0&amp;vr=2.0&amp;DB=506&amp;FindType=Y&amp;SerialNum=2018165174" TargetMode="External"/><Relationship Id="rId42" Type="http://schemas.openxmlformats.org/officeDocument/2006/relationships/hyperlink" Target="http://www.westlaw.com/Find/Default.wl?rs=dfa1.0&amp;vr=2.0&amp;DB=506&amp;FindType=Y&amp;SerialNum=2018139048" TargetMode="External"/><Relationship Id="rId90" Type="http://schemas.openxmlformats.org/officeDocument/2006/relationships/hyperlink" Target="http://www.westlaw.com/Find/Default.wl?rs=dfa1.0&amp;vr=2.0&amp;FindType=Y&amp;SerialNum=2019415128" TargetMode="External"/><Relationship Id="rId91" Type="http://schemas.openxmlformats.org/officeDocument/2006/relationships/hyperlink" Target="http://www.westlaw.com/Find/Default.wl?rs=dfa1.0&amp;vr=2.0&amp;FindType=Y&amp;SerialNum=2018766259" TargetMode="External"/><Relationship Id="rId92" Type="http://schemas.openxmlformats.org/officeDocument/2006/relationships/hyperlink" Target="http://www.westlaw.com/Find/Default.wl?rs=dfa1.0&amp;vr=2.0&amp;DB=4637&amp;FindType=Y&amp;SerialNum=2018728421" TargetMode="External"/><Relationship Id="rId93" Type="http://schemas.openxmlformats.org/officeDocument/2006/relationships/hyperlink" Target="http://www.westlaw.com/Find/Default.wl?rs=dfa1.0&amp;vr=2.0&amp;DB=4637&amp;FindType=Y&amp;SerialNum=2018652647" TargetMode="External"/><Relationship Id="rId94" Type="http://schemas.openxmlformats.org/officeDocument/2006/relationships/hyperlink" Target="http://www.westlaw.com/Find/Default.wl?rs=dfa1.0&amp;vr=2.0&amp;FindType=Y&amp;SerialNum=2018611596" TargetMode="External"/><Relationship Id="rId95" Type="http://schemas.openxmlformats.org/officeDocument/2006/relationships/hyperlink" Target="http://www.westlaw.com/Find/Default.wl?rs=dfa1.0&amp;vr=2.0&amp;DB=913&amp;FindType=Y&amp;SerialNum=2018589817" TargetMode="External"/><Relationship Id="rId96" Type="http://schemas.openxmlformats.org/officeDocument/2006/relationships/hyperlink" Target="http://www.westlaw.com/Find/Default.wl?rs=dfa1.0&amp;vr=2.0&amp;DB=4637&amp;FindType=Y&amp;SerialNum=2018560871" TargetMode="External"/><Relationship Id="rId101" Type="http://schemas.openxmlformats.org/officeDocument/2006/relationships/hyperlink" Target="http://www.westlaw.com/Find/Default.wl?rs=dfa1.0&amp;vr=2.0&amp;DB=4637&amp;FindType=Y&amp;SerialNum=2018517402" TargetMode="External"/><Relationship Id="rId102" Type="http://schemas.openxmlformats.org/officeDocument/2006/relationships/hyperlink" Target="http://www.westlaw.com/Find/Default.wl?rs=dfa1.0&amp;vr=2.0&amp;FindType=Y&amp;SerialNum=2018529353" TargetMode="External"/><Relationship Id="rId103" Type="http://schemas.openxmlformats.org/officeDocument/2006/relationships/hyperlink" Target="http://www.westlaw.com/Find/Default.wl?rs=dfa1.0&amp;vr=2.0&amp;DB=4637&amp;FindType=Y&amp;SerialNum=2020202118" TargetMode="External"/><Relationship Id="rId104" Type="http://schemas.openxmlformats.org/officeDocument/2006/relationships/hyperlink" Target="http://www.westlaw.com/Find/Default.wl?rs=dfa1.0&amp;vr=2.0&amp;DB=4637&amp;FindType=Y&amp;SerialNum=2018485506" TargetMode="External"/><Relationship Id="rId105" Type="http://schemas.openxmlformats.org/officeDocument/2006/relationships/hyperlink" Target="http://www.westlaw.com/Find/Default.wl?rs=dfa1.0&amp;vr=2.0&amp;DB=4637&amp;FindType=Y&amp;SerialNum=2018386727" TargetMode="External"/><Relationship Id="rId106" Type="http://schemas.openxmlformats.org/officeDocument/2006/relationships/hyperlink" Target="http://www.westlaw.com/Find/Default.wl?rs=dfa1.0&amp;vr=2.0&amp;FindType=Y&amp;SerialNum=2018309577" TargetMode="External"/><Relationship Id="rId107" Type="http://schemas.openxmlformats.org/officeDocument/2006/relationships/hyperlink" Target="http://www.westlaw.com/Find/Default.wl?rs=dfa1.0&amp;vr=2.0&amp;FindType=Y&amp;SerialNum=2018359422" TargetMode="External"/><Relationship Id="rId108" Type="http://schemas.openxmlformats.org/officeDocument/2006/relationships/hyperlink" Target="http://www.westlaw.com/Find/Default.wl?rs=dfa1.0&amp;vr=2.0&amp;FindType=Y&amp;SerialNum=2018381519" TargetMode="External"/><Relationship Id="rId109" Type="http://schemas.openxmlformats.org/officeDocument/2006/relationships/hyperlink" Target="http://www.westlaw.com/Find/Default.wl?rs=dfa1.0&amp;vr=2.0&amp;DB=4637&amp;FindType=Y&amp;SerialNum=2018296223" TargetMode="External"/><Relationship Id="rId97" Type="http://schemas.openxmlformats.org/officeDocument/2006/relationships/hyperlink" Target="http://www.westlaw.com/Find/Default.wl?rs=dfa1.0&amp;vr=2.0&amp;FindType=Y&amp;SerialNum=2018883667" TargetMode="External"/><Relationship Id="rId98" Type="http://schemas.openxmlformats.org/officeDocument/2006/relationships/hyperlink" Target="http://www.westlaw.com/Find/Default.wl?rs=dfa1.0&amp;vr=2.0&amp;FindType=Y&amp;SerialNum=2018536948" TargetMode="External"/><Relationship Id="rId99" Type="http://schemas.openxmlformats.org/officeDocument/2006/relationships/hyperlink" Target="http://www.westlaw.com/Find/Default.wl?rs=dfa1.0&amp;vr=2.0&amp;FindType=Y&amp;SerialNum=2018561399" TargetMode="External"/><Relationship Id="rId43" Type="http://schemas.openxmlformats.org/officeDocument/2006/relationships/hyperlink" Target="http://www.westlaw.com/Find/Default.wl?rs=dfa1.0&amp;vr=2.0&amp;DB=506&amp;FindType=Y&amp;SerialNum=2018116158" TargetMode="External"/><Relationship Id="rId44" Type="http://schemas.openxmlformats.org/officeDocument/2006/relationships/hyperlink" Target="http://www.westlaw.com/Find/Default.wl?rs=dfa1.0&amp;vr=2.0&amp;DB=506&amp;FindType=Y&amp;SerialNum=2017998035" TargetMode="External"/><Relationship Id="rId45" Type="http://schemas.openxmlformats.org/officeDocument/2006/relationships/hyperlink" Target="http://www.westlaw.com/Find/Default.wl?rs=dfa1.0&amp;vr=2.0&amp;DB=506&amp;FindType=Y&amp;SerialNum=2017998695" TargetMode="External"/><Relationship Id="rId46" Type="http://schemas.openxmlformats.org/officeDocument/2006/relationships/hyperlink" Target="http://www.westlaw.com/Find/Default.wl?rs=dfa1.0&amp;vr=2.0&amp;DB=506&amp;FindType=Y&amp;SerialNum=2018590372" TargetMode="External"/><Relationship Id="rId47" Type="http://schemas.openxmlformats.org/officeDocument/2006/relationships/hyperlink" Target="http://www.westlaw.com/Find/Default.wl?rs=dfa1.0&amp;vr=2.0&amp;DB=506&amp;FindType=Y&amp;SerialNum=2017720134" TargetMode="External"/><Relationship Id="rId48" Type="http://schemas.openxmlformats.org/officeDocument/2006/relationships/hyperlink" Target="http://www.westlaw.com/Find/Default.wl?rs=dfa1.0&amp;vr=2.0&amp;DB=506&amp;FindType=Y&amp;SerialNum=2017683247" TargetMode="External"/><Relationship Id="rId49" Type="http://schemas.openxmlformats.org/officeDocument/2006/relationships/hyperlink" Target="http://www.westlaw.com/Find/Default.wl?rs=dfa1.0&amp;vr=2.0&amp;DB=506&amp;FindType=Y&amp;SerialNum=2017622360" TargetMode="External"/><Relationship Id="rId100" Type="http://schemas.openxmlformats.org/officeDocument/2006/relationships/hyperlink" Target="http://www.westlaw.com/Find/Default.wl?rs=dfa1.0&amp;vr=2.0&amp;DB=4637&amp;FindType=Y&amp;SerialNum=2018495141" TargetMode="External"/><Relationship Id="rId20" Type="http://schemas.openxmlformats.org/officeDocument/2006/relationships/hyperlink" Target="http://www.westlaw.com/Find/Default.wl?rs=dfa1.0&amp;vr=2.0&amp;DB=506&amp;FindType=Y&amp;SerialNum=2019402243" TargetMode="External"/><Relationship Id="rId21" Type="http://schemas.openxmlformats.org/officeDocument/2006/relationships/hyperlink" Target="http://www.westlaw.com/Find/Default.wl?rs=dfa1.0&amp;vr=2.0&amp;DB=506&amp;FindType=Y&amp;SerialNum=2019395704" TargetMode="External"/><Relationship Id="rId22" Type="http://schemas.openxmlformats.org/officeDocument/2006/relationships/hyperlink" Target="http://www.westlaw.com/Find/Default.wl?rs=dfa1.0&amp;vr=2.0&amp;DB=506&amp;FindType=Y&amp;SerialNum=2019263706" TargetMode="External"/><Relationship Id="rId70" Type="http://schemas.openxmlformats.org/officeDocument/2006/relationships/hyperlink" Target="http://www.westlaw.com/Find/Default.wl?rs=dfa1.0&amp;vr=2.0&amp;FindType=Y&amp;SerialNum=2019606724" TargetMode="External"/><Relationship Id="rId71" Type="http://schemas.openxmlformats.org/officeDocument/2006/relationships/hyperlink" Target="http://www.westlaw.com/Find/Default.wl?rs=dfa1.0&amp;vr=2.0&amp;FindType=Y&amp;SerialNum=2020079845" TargetMode="External"/><Relationship Id="rId72" Type="http://schemas.openxmlformats.org/officeDocument/2006/relationships/hyperlink" Target="http://www.westlaw.com/Find/Default.wl?rs=dfa1.0&amp;vr=2.0&amp;FindType=Y&amp;SerialNum=2019610440" TargetMode="External"/><Relationship Id="rId73" Type="http://schemas.openxmlformats.org/officeDocument/2006/relationships/hyperlink" Target="http://www.westlaw.com/Find/Default.wl?rs=dfa1.0&amp;vr=2.0&amp;DB=4637&amp;FindType=Y&amp;SerialNum=2019560081" TargetMode="External"/><Relationship Id="rId74" Type="http://schemas.openxmlformats.org/officeDocument/2006/relationships/hyperlink" Target="http://www.westlaw.com/Find/Default.wl?rs=dfa1.0&amp;vr=2.0&amp;FindType=Y&amp;SerialNum=2019560492" TargetMode="External"/><Relationship Id="rId75" Type="http://schemas.openxmlformats.org/officeDocument/2006/relationships/hyperlink" Target="http://www.westlaw.com/Find/Default.wl?rs=dfa1.0&amp;vr=2.0&amp;FindType=Y&amp;SerialNum=2021142640" TargetMode="External"/><Relationship Id="rId76" Type="http://schemas.openxmlformats.org/officeDocument/2006/relationships/hyperlink" Target="http://www.westlaw.com/Find/Default.wl?rs=dfa1.0&amp;vr=2.0&amp;DB=4637&amp;FindType=Y&amp;SerialNum=2019410352" TargetMode="External"/><Relationship Id="rId77" Type="http://schemas.openxmlformats.org/officeDocument/2006/relationships/hyperlink" Target="http://www.westlaw.com/Find/Default.wl?rs=dfa1.0&amp;vr=2.0&amp;FindType=Y&amp;SerialNum=2019885808" TargetMode="External"/><Relationship Id="rId78" Type="http://schemas.openxmlformats.org/officeDocument/2006/relationships/hyperlink" Target="http://www.westlaw.com/Find/Default.wl?rs=dfa1.0&amp;vr=2.0&amp;FindType=Y&amp;SerialNum=2019415085" TargetMode="External"/><Relationship Id="rId79" Type="http://schemas.openxmlformats.org/officeDocument/2006/relationships/hyperlink" Target="http://www.westlaw.com/Find/Default.wl?rs=dfa1.0&amp;vr=2.0&amp;FindType=Y&amp;SerialNum=2019415227" TargetMode="External"/><Relationship Id="rId23" Type="http://schemas.openxmlformats.org/officeDocument/2006/relationships/hyperlink" Target="http://www.westlaw.com/Find/Default.wl?rs=dfa1.0&amp;vr=2.0&amp;DB=506&amp;FindType=Y&amp;SerialNum=2019114190" TargetMode="External"/><Relationship Id="rId24" Type="http://schemas.openxmlformats.org/officeDocument/2006/relationships/hyperlink" Target="http://www.westlaw.com/Find/Default.wl?rs=dfa1.0&amp;vr=2.0&amp;DB=506&amp;FindType=Y&amp;SerialNum=2018983666" TargetMode="External"/><Relationship Id="rId25" Type="http://schemas.openxmlformats.org/officeDocument/2006/relationships/hyperlink" Target="http://www.westlaw.com/Find/Default.wl?rs=dfa1.0&amp;vr=2.0&amp;DB=6538&amp;FindType=Y&amp;SerialNum=2018957056" TargetMode="External"/><Relationship Id="rId26" Type="http://schemas.openxmlformats.org/officeDocument/2006/relationships/hyperlink" Target="http://www.westlaw.com/Find/Default.wl?rs=dfa1.0&amp;vr=2.0&amp;DB=506&amp;FindType=Y&amp;SerialNum=2018945601" TargetMode="External"/><Relationship Id="rId27" Type="http://schemas.openxmlformats.org/officeDocument/2006/relationships/hyperlink" Target="http://www.westlaw.com/Find/Default.wl?rs=dfa1.0&amp;vr=2.0&amp;DB=506&amp;FindType=Y&amp;SerialNum=2018932834" TargetMode="External"/><Relationship Id="rId28" Type="http://schemas.openxmlformats.org/officeDocument/2006/relationships/hyperlink" Target="http://www.westlaw.com/Find/Default.wl?rs=dfa1.0&amp;vr=2.0&amp;DB=6538&amp;FindType=Y&amp;SerialNum=2018865998" TargetMode="External"/><Relationship Id="rId29" Type="http://schemas.openxmlformats.org/officeDocument/2006/relationships/hyperlink" Target="http://www.westlaw.com/Find/Default.wl?rs=dfa1.0&amp;vr=2.0&amp;DB=506&amp;FindType=Y&amp;SerialNum=2018842704" TargetMode="External"/><Relationship Id="rId130" Type="http://schemas.openxmlformats.org/officeDocument/2006/relationships/hyperlink" Target="http://www.westlaw.com/Find/Default.wl?rs=dfa1.0&amp;vr=2.0&amp;DB=4637&amp;FindType=Y&amp;SerialNum=2017438555" TargetMode="External"/><Relationship Id="rId131" Type="http://schemas.openxmlformats.org/officeDocument/2006/relationships/hyperlink" Target="http://www.westlaw.com/Find/Default.wl?rs=dfa1.0&amp;vr=2.0&amp;FindType=Y&amp;SerialNum=2017414629" TargetMode="External"/><Relationship Id="rId132" Type="http://schemas.openxmlformats.org/officeDocument/2006/relationships/hyperlink" Target="http://www.westlaw.com/Find/Default.wl?rs=dfa1.0&amp;vr=2.0&amp;FindType=Y&amp;SerialNum=2018458611" TargetMode="External"/><Relationship Id="rId133" Type="http://schemas.openxmlformats.org/officeDocument/2006/relationships/hyperlink" Target="http://www.westlaw.com/Find/Default.wl?rs=dfa1.0&amp;vr=2.0&amp;FindType=Y&amp;SerialNum=2017388151" TargetMode="External"/><Relationship Id="rId134" Type="http://schemas.openxmlformats.org/officeDocument/2006/relationships/hyperlink" Target="http://www.supremecourt.gov/opinions/08pdf/07-9086.pdf" TargetMode="External"/><Relationship Id="rId135" Type="http://schemas.openxmlformats.org/officeDocument/2006/relationships/hyperlink" Target="http://www.supremecourt.gov/opinions/08pdf/07-6309.pdf" TargetMode="External"/><Relationship Id="rId1" Type="http://schemas.openxmlformats.org/officeDocument/2006/relationships/hyperlink" Target="http://www.westlaw.com/Find/Default.wl?rs=dfa1.0&amp;vr=2.0&amp;DB=708&amp;FindType=Y&amp;SerialNum=2018897274" TargetMode="External"/><Relationship Id="rId2" Type="http://schemas.openxmlformats.org/officeDocument/2006/relationships/hyperlink" Target="http://www.westlaw.com/Find/Default.wl?rs=dfa1.0&amp;vr=2.0&amp;DB=780&amp;FindType=Y&amp;SerialNum=2018252636" TargetMode="External"/><Relationship Id="rId3" Type="http://schemas.openxmlformats.org/officeDocument/2006/relationships/hyperlink" Target="http://www.westlaw.com/Find/Default.wl?rs=dfa1.0&amp;vr=2.0&amp;DB=780&amp;FindType=Y&amp;SerialNum=2017865662" TargetMode="External"/><Relationship Id="rId4" Type="http://schemas.openxmlformats.org/officeDocument/2006/relationships/hyperlink" Target="http://www.westlaw.com/Find/Default.wl?rs=dfa1.0&amp;vr=2.0&amp;DB=506&amp;FindType=Y&amp;SerialNum=2019924305" TargetMode="External"/><Relationship Id="rId5" Type="http://schemas.openxmlformats.org/officeDocument/2006/relationships/hyperlink" Target="http://www.westlaw.com/Find/Default.wl?rs=dfa1.0&amp;vr=2.0&amp;DB=506&amp;FindType=Y&amp;SerialNum=2019902187" TargetMode="External"/><Relationship Id="rId6" Type="http://schemas.openxmlformats.org/officeDocument/2006/relationships/hyperlink" Target="http://www.westlaw.com/Find/Default.wl?rs=dfa1.0&amp;vr=2.0&amp;DB=506&amp;FindType=Y&amp;SerialNum=2019864652" TargetMode="External"/><Relationship Id="rId7" Type="http://schemas.openxmlformats.org/officeDocument/2006/relationships/hyperlink" Target="http://www.westlaw.com/Find/Default.wl?rs=dfa1.0&amp;vr=2.0&amp;DB=506&amp;FindType=Y&amp;SerialNum=2019864678" TargetMode="External"/><Relationship Id="rId8" Type="http://schemas.openxmlformats.org/officeDocument/2006/relationships/hyperlink" Target="http://www.westlaw.com/Find/Default.wl?rs=dfa1.0&amp;vr=2.0&amp;DB=506&amp;FindType=Y&amp;SerialNum=2019751719" TargetMode="External"/><Relationship Id="rId9" Type="http://schemas.openxmlformats.org/officeDocument/2006/relationships/hyperlink" Target="http://www.westlaw.com/Find/Default.wl?rs=dfa1.0&amp;vr=2.0&amp;DB=506&amp;FindType=Y&amp;SerialNum=2019731170" TargetMode="External"/><Relationship Id="rId50" Type="http://schemas.openxmlformats.org/officeDocument/2006/relationships/hyperlink" Target="http://www.westlaw.com/Find/Default.wl?rs=dfa1.0&amp;vr=2.0&amp;DB=506&amp;FindType=Y&amp;SerialNum=2017602205" TargetMode="External"/><Relationship Id="rId51" Type="http://schemas.openxmlformats.org/officeDocument/2006/relationships/hyperlink" Target="http://www.westlaw.com/Find/Default.wl?rs=dfa1.0&amp;vr=2.0&amp;DB=506&amp;FindType=Y&amp;SerialNum=2017591051" TargetMode="External"/><Relationship Id="rId52" Type="http://schemas.openxmlformats.org/officeDocument/2006/relationships/hyperlink" Target="http://www.westlaw.com/Find/Default.wl?rs=dfa1.0&amp;vr=2.0&amp;DB=506&amp;FindType=Y&amp;SerialNum=2017591053" TargetMode="External"/><Relationship Id="rId53" Type="http://schemas.openxmlformats.org/officeDocument/2006/relationships/hyperlink" Target="http://www.westlaw.com/Find/Default.wl?rs=dfa1.0&amp;vr=2.0&amp;DB=506&amp;FindType=Y&amp;SerialNum=2017570303" TargetMode="External"/><Relationship Id="rId54" Type="http://schemas.openxmlformats.org/officeDocument/2006/relationships/hyperlink" Target="http://www.westlaw.com/Find/Default.wl?rs=dfa1.0&amp;vr=2.0&amp;DB=506&amp;FindType=Y&amp;SerialNum=2017498277" TargetMode="External"/><Relationship Id="rId55" Type="http://schemas.openxmlformats.org/officeDocument/2006/relationships/hyperlink" Target="http://www.westlaw.com/Find/Default.wl?rs=dfa1.0&amp;vr=2.0&amp;DB=506&amp;FindType=Y&amp;SerialNum=2017470238" TargetMode="External"/><Relationship Id="rId56" Type="http://schemas.openxmlformats.org/officeDocument/2006/relationships/hyperlink" Target="http://www.westlaw.com/Find/Default.wl?rs=dfa1.0&amp;vr=2.0&amp;DB=506&amp;FindType=Y&amp;SerialNum=2017452049" TargetMode="External"/><Relationship Id="rId57" Type="http://schemas.openxmlformats.org/officeDocument/2006/relationships/hyperlink" Target="http://www.westlaw.com/Find/Default.wl?rs=dfa1.0&amp;vr=2.0&amp;DB=506&amp;FindType=Y&amp;SerialNum=2017439689" TargetMode="External"/><Relationship Id="rId58" Type="http://schemas.openxmlformats.org/officeDocument/2006/relationships/hyperlink" Target="http://www.westlaw.com/Find/Default.wl?rs=dfa1.0&amp;vr=2.0&amp;DB=506&amp;FindType=Y&amp;SerialNum=2017262446" TargetMode="External"/><Relationship Id="rId59" Type="http://schemas.openxmlformats.org/officeDocument/2006/relationships/hyperlink" Target="http://www.westlaw.com/Find/Default.wl?rs=dfa1.0&amp;vr=2.0&amp;DB=4637&amp;FindType=Y&amp;SerialNum=2019923678" TargetMode="External"/><Relationship Id="rId110" Type="http://schemas.openxmlformats.org/officeDocument/2006/relationships/hyperlink" Target="http://www.westlaw.com/Find/Default.wl?rs=dfa1.0&amp;vr=2.0&amp;FindType=Y&amp;SerialNum=2019467453" TargetMode="External"/><Relationship Id="rId111" Type="http://schemas.openxmlformats.org/officeDocument/2006/relationships/hyperlink" Target="http://www.westlaw.com/Find/Default.wl?rs=dfa1.0&amp;vr=2.0&amp;FindType=Y&amp;SerialNum=2018295079" TargetMode="External"/><Relationship Id="rId112" Type="http://schemas.openxmlformats.org/officeDocument/2006/relationships/hyperlink" Target="http://www.westlaw.com/Find/Default.wl?rs=dfa1.0&amp;vr=2.0&amp;FindType=Y&amp;SerialNum=2018268271" TargetMode="External"/><Relationship Id="rId113" Type="http://schemas.openxmlformats.org/officeDocument/2006/relationships/hyperlink" Target="http://www.westlaw.com/Find/Default.wl?rs=dfa1.0&amp;vr=2.0&amp;FindType=Y&amp;SerialNum=2018284711" TargetMode="External"/><Relationship Id="rId114" Type="http://schemas.openxmlformats.org/officeDocument/2006/relationships/hyperlink" Target="http://www.westlaw.com/Find/Default.wl?rs=dfa1.0&amp;vr=2.0&amp;FindType=Y&amp;SerialNum=2021073957" TargetMode="External"/><Relationship Id="rId115" Type="http://schemas.openxmlformats.org/officeDocument/2006/relationships/hyperlink" Target="http://www.westlaw.com/Find/Default.wl?rs=dfa1.0&amp;vr=2.0&amp;FindType=Y&amp;SerialNum=2018232290" TargetMode="External"/><Relationship Id="rId116" Type="http://schemas.openxmlformats.org/officeDocument/2006/relationships/hyperlink" Target="http://www.westlaw.com/Find/Default.wl?rs=dfa1.0&amp;vr=2.0&amp;DB=164&amp;FindType=Y&amp;SerialNum=2018151496" TargetMode="External"/><Relationship Id="rId117" Type="http://schemas.openxmlformats.org/officeDocument/2006/relationships/hyperlink" Target="http://www.westlaw.com/Find/Default.wl?rs=dfa1.0&amp;vr=2.0&amp;FindType=Y&amp;SerialNum=2020554866" TargetMode="External"/><Relationship Id="rId118" Type="http://schemas.openxmlformats.org/officeDocument/2006/relationships/hyperlink" Target="http://www.westlaw.com/Find/Default.wl?rs=dfa1.0&amp;vr=2.0&amp;DB=344&amp;FindType=Y&amp;SerialNum=2018076424" TargetMode="External"/><Relationship Id="rId119" Type="http://schemas.openxmlformats.org/officeDocument/2006/relationships/hyperlink" Target="http://www.westlaw.com/Find/Default.wl?rs=dfa1.0&amp;vr=2.0&amp;FindType=Y&amp;SerialNum=2018075141" TargetMode="External"/><Relationship Id="rId30" Type="http://schemas.openxmlformats.org/officeDocument/2006/relationships/hyperlink" Target="http://www.westlaw.com/Find/Default.wl?rs=dfa1.0&amp;vr=2.0&amp;DB=6538&amp;FindType=Y&amp;SerialNum=2018843744" TargetMode="External"/><Relationship Id="rId31" Type="http://schemas.openxmlformats.org/officeDocument/2006/relationships/hyperlink" Target="http://www.westlaw.com/Find/Default.wl?rs=dfa1.0&amp;vr=2.0&amp;DB=506&amp;FindType=Y&amp;SerialNum=2018828639" TargetMode="External"/><Relationship Id="rId32" Type="http://schemas.openxmlformats.org/officeDocument/2006/relationships/hyperlink" Target="http://www.westlaw.com/Find/Default.wl?rs=dfa1.0&amp;vr=2.0&amp;DB=506&amp;FindType=Y&amp;SerialNum=2018566556" TargetMode="External"/><Relationship Id="rId33" Type="http://schemas.openxmlformats.org/officeDocument/2006/relationships/hyperlink" Target="http://www.westlaw.com/Find/Default.wl?rs=dfa1.0&amp;vr=2.0&amp;DB=6538&amp;FindType=Y&amp;SerialNum=2018559856" TargetMode="External"/><Relationship Id="rId34" Type="http://schemas.openxmlformats.org/officeDocument/2006/relationships/hyperlink" Target="http://www.westlaw.com/Find/Default.wl?rs=dfa1.0&amp;vr=2.0&amp;DB=506&amp;FindType=Y&amp;SerialNum=2018494595" TargetMode="External"/><Relationship Id="rId35" Type="http://schemas.openxmlformats.org/officeDocument/2006/relationships/hyperlink" Target="http://www.westlaw.com/Find/Default.wl?rs=dfa1.0&amp;vr=2.0&amp;DB=506&amp;FindType=Y&amp;SerialNum=2018412095" TargetMode="External"/><Relationship Id="rId36" Type="http://schemas.openxmlformats.org/officeDocument/2006/relationships/hyperlink" Target="http://www.westlaw.com/Find/Default.wl?rs=dfa1.0&amp;vr=2.0&amp;DB=26&amp;FindType=Y&amp;SerialNum=2007372809" TargetMode="External"/><Relationship Id="rId37" Type="http://schemas.openxmlformats.org/officeDocument/2006/relationships/hyperlink" Target="http://www.westlaw.com/Find/Default.wl?rs=dfa1.0&amp;vr=2.0&amp;DB=506&amp;FindType=Y&amp;SerialNum=2018269598" TargetMode="External"/><Relationship Id="rId38" Type="http://schemas.openxmlformats.org/officeDocument/2006/relationships/hyperlink" Target="http://www.westlaw.com/Find/Default.wl?rs=dfa1.0&amp;vr=2.0&amp;DB=506&amp;FindType=Y&amp;SerialNum=2018271546" TargetMode="External"/><Relationship Id="rId39" Type="http://schemas.openxmlformats.org/officeDocument/2006/relationships/hyperlink" Target="http://www.westlaw.com/Find/Default.wl?rs=dfa1.0&amp;vr=2.0&amp;DB=506&amp;FindType=Y&amp;SerialNum=2018285314" TargetMode="External"/><Relationship Id="rId80" Type="http://schemas.openxmlformats.org/officeDocument/2006/relationships/hyperlink" Target="http://www.westlaw.com/Find/Default.wl?rs=dfa1.0&amp;vr=2.0&amp;FindType=Y&amp;SerialNum=2019381166" TargetMode="External"/><Relationship Id="rId81" Type="http://schemas.openxmlformats.org/officeDocument/2006/relationships/hyperlink" Target="http://www.westlaw.com/Find/Default.wl?rs=dfa1.0&amp;vr=2.0&amp;FindType=Y&amp;SerialNum=2019254788" TargetMode="External"/><Relationship Id="rId82" Type="http://schemas.openxmlformats.org/officeDocument/2006/relationships/hyperlink" Target="http://www.westlaw.com/Find/Default.wl?rs=dfa1.0&amp;vr=2.0&amp;DB=164&amp;FindType=Y&amp;SerialNum=2019174489" TargetMode="External"/><Relationship Id="rId83" Type="http://schemas.openxmlformats.org/officeDocument/2006/relationships/hyperlink" Target="http://www.westlaw.com/Find/Default.wl?rs=dfa1.0&amp;vr=2.0&amp;DB=4637&amp;FindType=Y&amp;SerialNum=2019228178" TargetMode="External"/><Relationship Id="rId84" Type="http://schemas.openxmlformats.org/officeDocument/2006/relationships/hyperlink" Target="http://www.westlaw.com/Find/Default.wl?rs=dfa1.0&amp;vr=2.0&amp;FindType=Y&amp;SerialNum=2019085424" TargetMode="External"/><Relationship Id="rId85" Type="http://schemas.openxmlformats.org/officeDocument/2006/relationships/hyperlink" Target="http://www.westlaw.com/Find/Default.wl?rs=dfa1.0&amp;vr=2.0&amp;DB=4637&amp;FindType=Y&amp;SerialNum=2018968162" TargetMode="External"/><Relationship Id="rId86" Type="http://schemas.openxmlformats.org/officeDocument/2006/relationships/hyperlink" Target="http://www.westlaw.com/Find/Default.wl?rs=dfa1.0&amp;vr=2.0&amp;DB=4637&amp;FindType=Y&amp;SerialNum=2019075256" TargetMode="External"/><Relationship Id="rId87" Type="http://schemas.openxmlformats.org/officeDocument/2006/relationships/hyperlink" Target="http://www.westlaw.com/Find/Default.wl?rs=dfa1.0&amp;vr=2.0&amp;DB=4637&amp;FindType=Y&amp;SerialNum=2018868635" TargetMode="External"/><Relationship Id="rId88" Type="http://schemas.openxmlformats.org/officeDocument/2006/relationships/hyperlink" Target="http://www.westlaw.com/Find/Default.wl?rs=dfa1.0&amp;vr=2.0&amp;DB=4637&amp;FindType=Y&amp;SerialNum=2018816225" TargetMode="External"/><Relationship Id="rId89" Type="http://schemas.openxmlformats.org/officeDocument/2006/relationships/hyperlink" Target="http://www.westlaw.com/Find/Default.wl?rs=dfa1.0&amp;vr=2.0&amp;DB=4637&amp;FindType=Y&amp;SerialNum=2018783409"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supremecourt.gov/opinions/09pdf/09-671.pdf"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westlaw.com/Find/Default.wl?rs=dfa1.0&amp;vr=2.0&amp;DB=1654&amp;FindType=Y&amp;SerialNum=2026280396" TargetMode="External"/><Relationship Id="rId4" Type="http://schemas.openxmlformats.org/officeDocument/2006/relationships/hyperlink" Target="http://www.westlaw.com/Find/Default.wl?rs=dfa1.0&amp;vr=2.0&amp;FindType=Y&amp;SerialNum=2026262724" TargetMode="External"/><Relationship Id="rId5" Type="http://schemas.openxmlformats.org/officeDocument/2006/relationships/hyperlink" Target="http://www.westlaw.com/Find/Default.wl?rs=dfa1.0&amp;vr=2.0&amp;DB=4593&amp;FindType=Y&amp;SerialNum=2026264215" TargetMode="External"/><Relationship Id="rId1" Type="http://schemas.openxmlformats.org/officeDocument/2006/relationships/hyperlink" Target="http://www.supremecourt.gov/opinions/10pdf/10-94.pdf" TargetMode="External"/><Relationship Id="rId2" Type="http://schemas.openxmlformats.org/officeDocument/2006/relationships/hyperlink" Target="http://www.supremecourt.gov/opinions/10pdf/09-1031.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westlaw.com/Find/Default.wl?rs=dfa1.0&amp;vr=2.0&amp;DB=350&amp;FindType=Y&amp;SerialNum=1991119323" TargetMode="External"/><Relationship Id="rId14" Type="http://schemas.openxmlformats.org/officeDocument/2006/relationships/hyperlink" Target="http://www.westlaw.com/Find/Default.wl?rs=dfa1.0&amp;vr=2.0&amp;DB=350&amp;FindType=Y&amp;SerialNum=1991117499" TargetMode="External"/><Relationship Id="rId15" Type="http://schemas.openxmlformats.org/officeDocument/2006/relationships/hyperlink" Target="http://www.westlaw.com/Find/Default.wl?rs=dfa1.0&amp;vr=2.0&amp;DB=350&amp;FindType=Y&amp;SerialNum=1991117494" TargetMode="External"/><Relationship Id="rId16" Type="http://schemas.openxmlformats.org/officeDocument/2006/relationships/hyperlink" Target="http://www.westlaw.com/Find/Default.wl?rs=dfa1.0&amp;vr=2.0&amp;DB=350&amp;FindType=Y&amp;SerialNum=1991114941" TargetMode="External"/><Relationship Id="rId17" Type="http://schemas.openxmlformats.org/officeDocument/2006/relationships/hyperlink" Target="http://www.westlaw.com/Find/Default.wl?rs=dfa1.0&amp;vr=2.0&amp;DB=350&amp;FindType=Y&amp;SerialNum=1991111491" TargetMode="External"/><Relationship Id="rId18" Type="http://schemas.openxmlformats.org/officeDocument/2006/relationships/hyperlink" Target="http://www.westlaw.com/Find/Default.wl?rs=dfa1.0&amp;vr=2.0&amp;DB=350&amp;FindType=Y&amp;SerialNum=1991107575" TargetMode="External"/><Relationship Id="rId19" Type="http://schemas.openxmlformats.org/officeDocument/2006/relationships/hyperlink" Target="http://www.westlaw.com/Find/Default.wl?rs=dfa1.0&amp;vr=2.0&amp;DB=350&amp;FindType=Y&amp;SerialNum=1991103948" TargetMode="External"/><Relationship Id="rId50" Type="http://schemas.openxmlformats.org/officeDocument/2006/relationships/hyperlink" Target="http://www.westlaw.com/Find/Default.wl?rs=dfa1.0&amp;vr=2.0&amp;DB=350&amp;FindType=Y&amp;SerialNum=1990176819" TargetMode="External"/><Relationship Id="rId51" Type="http://schemas.openxmlformats.org/officeDocument/2006/relationships/hyperlink" Target="http://www.westlaw.com/Find/Default.wl?rs=dfa1.0&amp;vr=2.0&amp;DB=350&amp;FindType=Y&amp;SerialNum=1990175969" TargetMode="External"/><Relationship Id="rId52" Type="http://schemas.openxmlformats.org/officeDocument/2006/relationships/hyperlink" Target="http://www.westlaw.com/Find/Default.wl?rs=dfa1.0&amp;vr=2.0&amp;DB=350&amp;FindType=Y&amp;SerialNum=1990172239" TargetMode="External"/><Relationship Id="rId53" Type="http://schemas.openxmlformats.org/officeDocument/2006/relationships/hyperlink" Target="http://www.westlaw.com/Find/Default.wl?rs=dfa1.0&amp;vr=2.0&amp;DB=350&amp;FindType=Y&amp;SerialNum=1990172231" TargetMode="External"/><Relationship Id="rId54" Type="http://schemas.openxmlformats.org/officeDocument/2006/relationships/hyperlink" Target="http://www.westlaw.com/Find/Default.wl?rs=dfa1.0&amp;vr=2.0&amp;DB=350&amp;FindType=Y&amp;SerialNum=1990168478" TargetMode="External"/><Relationship Id="rId55" Type="http://schemas.openxmlformats.org/officeDocument/2006/relationships/hyperlink" Target="http://www.westlaw.com/Find/Default.wl?rs=dfa1.0&amp;vr=2.0&amp;DB=350&amp;FindType=Y&amp;SerialNum=1990162167" TargetMode="External"/><Relationship Id="rId56" Type="http://schemas.openxmlformats.org/officeDocument/2006/relationships/hyperlink" Target="http://www.westlaw.com/Find/Default.wl?rs=dfa1.0&amp;vr=2.0&amp;DB=350&amp;FindType=Y&amp;SerialNum=1991051112" TargetMode="External"/><Relationship Id="rId57" Type="http://schemas.openxmlformats.org/officeDocument/2006/relationships/hyperlink" Target="http://www.westlaw.com/Find/Default.wl?rs=dfa1.0&amp;vr=2.0&amp;DB=350&amp;FindType=Y&amp;SerialNum=1990152708" TargetMode="External"/><Relationship Id="rId40" Type="http://schemas.openxmlformats.org/officeDocument/2006/relationships/hyperlink" Target="http://www.westlaw.com/Find/Default.wl?rs=dfa1.0&amp;vr=2.0&amp;DB=350&amp;FindType=Y&amp;SerialNum=1991031266" TargetMode="External"/><Relationship Id="rId41" Type="http://schemas.openxmlformats.org/officeDocument/2006/relationships/hyperlink" Target="http://www.westlaw.com/Find/Default.wl?rs=dfa1.0&amp;vr=2.0&amp;DB=913&amp;FindType=Y&amp;SerialNum=1991031269" TargetMode="External"/><Relationship Id="rId42" Type="http://schemas.openxmlformats.org/officeDocument/2006/relationships/hyperlink" Target="http://www.westlaw.com/Find/Default.wl?rs=dfa1.0&amp;vr=2.0&amp;DB=350&amp;FindType=Y&amp;SerialNum=1991028910" TargetMode="External"/><Relationship Id="rId43" Type="http://schemas.openxmlformats.org/officeDocument/2006/relationships/hyperlink" Target="http://www.westlaw.com/Find/Default.wl?rs=dfa1.0&amp;vr=2.0&amp;DB=350&amp;FindType=Y&amp;SerialNum=1991026760" TargetMode="External"/><Relationship Id="rId44" Type="http://schemas.openxmlformats.org/officeDocument/2006/relationships/hyperlink" Target="http://www.westlaw.com/Find/Default.wl?rs=dfa1.0&amp;vr=2.0&amp;DB=350&amp;FindType=Y&amp;SerialNum=1991021061" TargetMode="External"/><Relationship Id="rId45" Type="http://schemas.openxmlformats.org/officeDocument/2006/relationships/hyperlink" Target="http://www.westlaw.com/Find/Default.wl?rs=dfa1.0&amp;vr=2.0&amp;DB=350&amp;FindType=Y&amp;SerialNum=1991015699" TargetMode="External"/><Relationship Id="rId46" Type="http://schemas.openxmlformats.org/officeDocument/2006/relationships/hyperlink" Target="http://www.westlaw.com/Find/Default.wl?rs=dfa1.0&amp;vr=2.0&amp;DB=350&amp;FindType=Y&amp;SerialNum=1990181807" TargetMode="External"/><Relationship Id="rId47" Type="http://schemas.openxmlformats.org/officeDocument/2006/relationships/hyperlink" Target="http://www.westlaw.com/Find/Default.wl?rs=dfa1.0&amp;vr=2.0&amp;DB=350&amp;FindType=Y&amp;SerialNum=1990181826" TargetMode="External"/><Relationship Id="rId48" Type="http://schemas.openxmlformats.org/officeDocument/2006/relationships/hyperlink" Target="http://www.westlaw.com/Find/Default.wl?rs=dfa1.0&amp;vr=2.0&amp;DB=350&amp;FindType=Y&amp;SerialNum=1990177146" TargetMode="External"/><Relationship Id="rId49" Type="http://schemas.openxmlformats.org/officeDocument/2006/relationships/hyperlink" Target="http://www.westlaw.com/Find/Default.wl?rs=dfa1.0&amp;vr=2.0&amp;DB=350&amp;FindType=Y&amp;SerialNum=1990176818" TargetMode="External"/><Relationship Id="rId1" Type="http://schemas.openxmlformats.org/officeDocument/2006/relationships/hyperlink" Target="http://www.westlaw.com/Find/Default.wl?rs=dfa1.0&amp;vr=2.0&amp;DB=350&amp;FindType=Y&amp;SerialNum=1991158707" TargetMode="External"/><Relationship Id="rId2" Type="http://schemas.openxmlformats.org/officeDocument/2006/relationships/hyperlink" Target="http://www.westlaw.com/Find/Default.wl?rs=dfa1.0&amp;vr=2.0&amp;DB=350&amp;FindType=Y&amp;SerialNum=1991144786" TargetMode="External"/><Relationship Id="rId3" Type="http://schemas.openxmlformats.org/officeDocument/2006/relationships/hyperlink" Target="http://www.westlaw.com/Find/Default.wl?rs=dfa1.0&amp;vr=2.0&amp;DB=350&amp;FindType=Y&amp;SerialNum=1991144326" TargetMode="External"/><Relationship Id="rId4" Type="http://schemas.openxmlformats.org/officeDocument/2006/relationships/hyperlink" Target="http://www.westlaw.com/Find/Default.wl?rs=dfa1.0&amp;vr=2.0&amp;DB=350&amp;FindType=Y&amp;SerialNum=1991141113" TargetMode="External"/><Relationship Id="rId5" Type="http://schemas.openxmlformats.org/officeDocument/2006/relationships/hyperlink" Target="http://www.westlaw.com/Find/Default.wl?rs=dfa1.0&amp;vr=2.0&amp;FindType=Y&amp;SerialNum=1991137381" TargetMode="External"/><Relationship Id="rId6" Type="http://schemas.openxmlformats.org/officeDocument/2006/relationships/hyperlink" Target="http://www.westlaw.com/Find/Default.wl?rs=dfa1.0&amp;vr=2.0&amp;DB=350&amp;FindType=Y&amp;SerialNum=1991137382" TargetMode="External"/><Relationship Id="rId7" Type="http://schemas.openxmlformats.org/officeDocument/2006/relationships/hyperlink" Target="http://www.westlaw.com/Find/Default.wl?rs=dfa1.0&amp;vr=2.0&amp;DB=350&amp;FindType=Y&amp;SerialNum=1991131797" TargetMode="External"/><Relationship Id="rId8" Type="http://schemas.openxmlformats.org/officeDocument/2006/relationships/hyperlink" Target="http://www.westlaw.com/Find/Default.wl?rs=dfa1.0&amp;vr=2.0&amp;DB=350&amp;FindType=Y&amp;SerialNum=1991131801" TargetMode="External"/><Relationship Id="rId9" Type="http://schemas.openxmlformats.org/officeDocument/2006/relationships/hyperlink" Target="http://www.westlaw.com/Find/Default.wl?rs=dfa1.0&amp;vr=2.0&amp;DB=350&amp;FindType=Y&amp;SerialNum=1991123671" TargetMode="External"/><Relationship Id="rId30" Type="http://schemas.openxmlformats.org/officeDocument/2006/relationships/hyperlink" Target="http://www.westlaw.com/Find/Default.wl?rs=dfa1.0&amp;vr=2.0&amp;DB=350&amp;FindType=Y&amp;SerialNum=1991066326" TargetMode="External"/><Relationship Id="rId31" Type="http://schemas.openxmlformats.org/officeDocument/2006/relationships/hyperlink" Target="http://www.westlaw.com/Find/Default.wl?rs=dfa1.0&amp;vr=2.0&amp;DB=350&amp;FindType=Y&amp;SerialNum=1991065097" TargetMode="External"/><Relationship Id="rId32" Type="http://schemas.openxmlformats.org/officeDocument/2006/relationships/hyperlink" Target="http://www.westlaw.com/Find/Default.wl?rs=dfa1.0&amp;vr=2.0&amp;DB=864&amp;FindType=Y&amp;SerialNum=1991063535" TargetMode="External"/><Relationship Id="rId33" Type="http://schemas.openxmlformats.org/officeDocument/2006/relationships/hyperlink" Target="http://www.westlaw.com/Find/Default.wl?rs=dfa1.0&amp;vr=2.0&amp;DB=350&amp;FindType=Y&amp;SerialNum=1991062762" TargetMode="External"/><Relationship Id="rId34" Type="http://schemas.openxmlformats.org/officeDocument/2006/relationships/hyperlink" Target="http://www.westlaw.com/Find/Default.wl?rs=dfa1.0&amp;vr=2.0&amp;DB=350&amp;FindType=Y&amp;SerialNum=1991058555" TargetMode="External"/><Relationship Id="rId35" Type="http://schemas.openxmlformats.org/officeDocument/2006/relationships/hyperlink" Target="http://www.westlaw.com/Find/Default.wl?rs=dfa1.0&amp;vr=2.0&amp;DB=350&amp;FindType=Y&amp;SerialNum=1991048268" TargetMode="External"/><Relationship Id="rId36" Type="http://schemas.openxmlformats.org/officeDocument/2006/relationships/hyperlink" Target="http://www.westlaw.com/Find/Default.wl?rs=dfa1.0&amp;vr=2.0&amp;DB=350&amp;FindType=Y&amp;SerialNum=1991046215" TargetMode="External"/><Relationship Id="rId37" Type="http://schemas.openxmlformats.org/officeDocument/2006/relationships/hyperlink" Target="http://www.westlaw.com/Find/Default.wl?rs=dfa1.0&amp;vr=2.0&amp;DB=350&amp;FindType=Y&amp;SerialNum=1991035314" TargetMode="External"/><Relationship Id="rId38" Type="http://schemas.openxmlformats.org/officeDocument/2006/relationships/hyperlink" Target="http://www.westlaw.com/Find/Default.wl?rs=dfa1.0&amp;vr=2.0&amp;DB=350&amp;FindType=Y&amp;SerialNum=1991034256" TargetMode="External"/><Relationship Id="rId39" Type="http://schemas.openxmlformats.org/officeDocument/2006/relationships/hyperlink" Target="http://www.westlaw.com/Find/Default.wl?rs=dfa1.0&amp;vr=2.0&amp;DB=350&amp;FindType=Y&amp;SerialNum=1991032068" TargetMode="External"/><Relationship Id="rId20" Type="http://schemas.openxmlformats.org/officeDocument/2006/relationships/hyperlink" Target="http://www.westlaw.com/Find/Default.wl?rs=dfa1.0&amp;vr=2.0&amp;DB=350&amp;FindType=Y&amp;SerialNum=1991101444" TargetMode="External"/><Relationship Id="rId21" Type="http://schemas.openxmlformats.org/officeDocument/2006/relationships/hyperlink" Target="http://www.westlaw.com/Find/Default.wl?rs=dfa1.0&amp;vr=2.0&amp;DB=350&amp;FindType=Y&amp;SerialNum=1991099752" TargetMode="External"/><Relationship Id="rId22" Type="http://schemas.openxmlformats.org/officeDocument/2006/relationships/hyperlink" Target="http://www.westlaw.com/Find/Default.wl?rs=dfa1.0&amp;vr=2.0&amp;DB=350&amp;FindType=Y&amp;SerialNum=1991096974" TargetMode="External"/><Relationship Id="rId23" Type="http://schemas.openxmlformats.org/officeDocument/2006/relationships/hyperlink" Target="http://www.westlaw.com/Find/Default.wl?rs=dfa1.0&amp;vr=2.0&amp;DB=350&amp;FindType=Y&amp;SerialNum=1991088556" TargetMode="External"/><Relationship Id="rId24" Type="http://schemas.openxmlformats.org/officeDocument/2006/relationships/hyperlink" Target="http://www.westlaw.com/Find/Default.wl?rs=dfa1.0&amp;vr=2.0&amp;DB=350&amp;FindType=Y&amp;SerialNum=1991082952" TargetMode="External"/><Relationship Id="rId25" Type="http://schemas.openxmlformats.org/officeDocument/2006/relationships/hyperlink" Target="http://www.westlaw.com/Find/Default.wl?rs=dfa1.0&amp;vr=2.0&amp;DB=350&amp;FindType=Y&amp;SerialNum=1991077568" TargetMode="External"/><Relationship Id="rId26" Type="http://schemas.openxmlformats.org/officeDocument/2006/relationships/hyperlink" Target="http://www.westlaw.com/Find/Default.wl?rs=dfa1.0&amp;vr=2.0&amp;DB=350&amp;FindType=Y&amp;SerialNum=1991073843" TargetMode="External"/><Relationship Id="rId27" Type="http://schemas.openxmlformats.org/officeDocument/2006/relationships/hyperlink" Target="http://www.westlaw.com/Find/Default.wl?rs=dfa1.0&amp;vr=2.0&amp;DB=350&amp;FindType=Y&amp;SerialNum=1991073051" TargetMode="External"/><Relationship Id="rId28" Type="http://schemas.openxmlformats.org/officeDocument/2006/relationships/hyperlink" Target="http://www.westlaw.com/Find/Default.wl?rs=dfa1.0&amp;vr=2.0&amp;DB=350&amp;FindType=Y&amp;SerialNum=1991071848" TargetMode="External"/><Relationship Id="rId29" Type="http://schemas.openxmlformats.org/officeDocument/2006/relationships/hyperlink" Target="http://www.westlaw.com/Find/Default.wl?rs=dfa1.0&amp;vr=2.0&amp;DB=350&amp;FindType=Y&amp;SerialNum=1991070141" TargetMode="External"/><Relationship Id="rId10" Type="http://schemas.openxmlformats.org/officeDocument/2006/relationships/hyperlink" Target="http://www.westlaw.com/Find/Default.wl?rs=dfa1.0&amp;vr=2.0&amp;DB=350&amp;FindType=Y&amp;SerialNum=1991123165" TargetMode="External"/><Relationship Id="rId11" Type="http://schemas.openxmlformats.org/officeDocument/2006/relationships/hyperlink" Target="http://www.westlaw.com/Find/Default.wl?rs=dfa1.0&amp;vr=2.0&amp;DB=350&amp;FindType=Y&amp;SerialNum=1991120627" TargetMode="External"/><Relationship Id="rId12" Type="http://schemas.openxmlformats.org/officeDocument/2006/relationships/hyperlink" Target="http://www.westlaw.com/Find/Default.wl?rs=dfa1.0&amp;vr=2.0&amp;DB=350&amp;FindType=Y&amp;SerialNum=199112007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westlaw.com/Find/Default.wl?rs=dfa1.0&amp;vr=2.0&amp;DB=350&amp;FindType=Y&amp;SerialNum=1992136392" TargetMode="External"/><Relationship Id="rId14" Type="http://schemas.openxmlformats.org/officeDocument/2006/relationships/hyperlink" Target="http://www.westlaw.com/Find/Default.wl?rs=dfa1.0&amp;vr=2.0&amp;DB=350&amp;FindType=Y&amp;SerialNum=1992132765" TargetMode="External"/><Relationship Id="rId15" Type="http://schemas.openxmlformats.org/officeDocument/2006/relationships/hyperlink" Target="http://www.westlaw.com/Find/Default.wl?rs=dfa1.0&amp;vr=2.0&amp;DB=350&amp;FindType=Y&amp;SerialNum=1992129462" TargetMode="External"/><Relationship Id="rId16" Type="http://schemas.openxmlformats.org/officeDocument/2006/relationships/hyperlink" Target="http://www.westlaw.com/Find/Default.wl?rs=dfa1.0&amp;vr=2.0&amp;DB=350&amp;FindType=Y&amp;SerialNum=1992124201" TargetMode="External"/><Relationship Id="rId17" Type="http://schemas.openxmlformats.org/officeDocument/2006/relationships/hyperlink" Target="http://www.westlaw.com/Find/Default.wl?rs=dfa1.0&amp;vr=2.0&amp;DB=350&amp;FindType=Y&amp;SerialNum=1992120830" TargetMode="External"/><Relationship Id="rId18" Type="http://schemas.openxmlformats.org/officeDocument/2006/relationships/hyperlink" Target="http://www.westlaw.com/Find/Default.wl?rs=dfa1.0&amp;vr=2.0&amp;DB=350&amp;FindType=Y&amp;SerialNum=1992120001" TargetMode="External"/><Relationship Id="rId19" Type="http://schemas.openxmlformats.org/officeDocument/2006/relationships/hyperlink" Target="http://www.westlaw.com/Find/Default.wl?rs=dfa1.0&amp;vr=2.0&amp;DB=350&amp;FindType=Y&amp;SerialNum=1992118536" TargetMode="External"/><Relationship Id="rId63" Type="http://schemas.openxmlformats.org/officeDocument/2006/relationships/hyperlink" Target="http://www.westlaw.com/Find/Default.wl?rs=dfa1.0&amp;vr=2.0&amp;DB=350&amp;FindType=Y&amp;SerialNum=1991170589" TargetMode="External"/><Relationship Id="rId64" Type="http://schemas.openxmlformats.org/officeDocument/2006/relationships/hyperlink" Target="http://www.westlaw.com/Find/Default.wl?rs=dfa1.0&amp;vr=2.0&amp;DB=350&amp;FindType=Y&amp;SerialNum=1991166879" TargetMode="External"/><Relationship Id="rId65" Type="http://schemas.openxmlformats.org/officeDocument/2006/relationships/hyperlink" Target="http://www.westlaw.com/Find/Default.wl?rs=dfa1.0&amp;vr=2.0&amp;DB=780&amp;FindType=Y&amp;SerialNum=1992116314" TargetMode="External"/><Relationship Id="rId66" Type="http://schemas.openxmlformats.org/officeDocument/2006/relationships/hyperlink" Target="http://www.westlaw.com/Find/Default.wl?rs=dfa1.0&amp;vr=2.0&amp;DB=350&amp;FindType=Y&amp;SerialNum=1992067380" TargetMode="External"/><Relationship Id="rId67" Type="http://schemas.openxmlformats.org/officeDocument/2006/relationships/hyperlink" Target="http://www.westlaw.com/Find/Default.wl?rs=dfa1.0&amp;vr=2.0&amp;DB=350&amp;FindType=Y&amp;SerialNum=1992046526" TargetMode="External"/><Relationship Id="rId68" Type="http://schemas.openxmlformats.org/officeDocument/2006/relationships/hyperlink" Target="http://www.westlaw.com/Find/Default.wl?rs=dfa1.0&amp;vr=2.0&amp;DB=350&amp;FindType=Y&amp;SerialNum=1992043469" TargetMode="External"/><Relationship Id="rId69" Type="http://schemas.openxmlformats.org/officeDocument/2006/relationships/hyperlink" Target="http://www.westlaw.com/Find/Default.wl?rs=dfa1.0&amp;vr=2.0&amp;DB=350&amp;FindType=Y&amp;SerialNum=1992017457" TargetMode="External"/><Relationship Id="rId50" Type="http://schemas.openxmlformats.org/officeDocument/2006/relationships/hyperlink" Target="http://www.westlaw.com/Find/Default.wl?rs=dfa1.0&amp;vr=2.0&amp;DB=350&amp;FindType=Y&amp;SerialNum=1991208241" TargetMode="External"/><Relationship Id="rId51" Type="http://schemas.openxmlformats.org/officeDocument/2006/relationships/hyperlink" Target="http://www.westlaw.com/Find/Default.wl?rs=dfa1.0&amp;vr=2.0&amp;DB=350&amp;FindType=Y&amp;SerialNum=1991206443" TargetMode="External"/><Relationship Id="rId52" Type="http://schemas.openxmlformats.org/officeDocument/2006/relationships/hyperlink" Target="http://www.westlaw.com/Find/Default.wl?rs=dfa1.0&amp;vr=2.0&amp;DB=350&amp;FindType=Y&amp;SerialNum=1991198257" TargetMode="External"/><Relationship Id="rId53" Type="http://schemas.openxmlformats.org/officeDocument/2006/relationships/hyperlink" Target="http://www.westlaw.com/Find/Default.wl?rs=dfa1.0&amp;vr=2.0&amp;DB=350&amp;FindType=Y&amp;SerialNum=1991198258" TargetMode="External"/><Relationship Id="rId54" Type="http://schemas.openxmlformats.org/officeDocument/2006/relationships/hyperlink" Target="http://www.westlaw.com/Find/Default.wl?rs=dfa1.0&amp;vr=2.0&amp;DB=350&amp;FindType=Y&amp;SerialNum=1991196870" TargetMode="External"/><Relationship Id="rId55" Type="http://schemas.openxmlformats.org/officeDocument/2006/relationships/hyperlink" Target="http://www.westlaw.com/Find/Default.wl?rs=dfa1.0&amp;vr=2.0&amp;DB=350&amp;FindType=Y&amp;SerialNum=1991196871" TargetMode="External"/><Relationship Id="rId56" Type="http://schemas.openxmlformats.org/officeDocument/2006/relationships/hyperlink" Target="http://www.westlaw.com/Find/Default.wl?rs=dfa1.0&amp;vr=2.0&amp;DB=350&amp;FindType=Y&amp;SerialNum=1991198320" TargetMode="External"/><Relationship Id="rId57" Type="http://schemas.openxmlformats.org/officeDocument/2006/relationships/hyperlink" Target="http://www.westlaw.com/Find/Default.wl?rs=dfa1.0&amp;vr=2.0&amp;DB=350&amp;FindType=Y&amp;SerialNum=1992061211" TargetMode="External"/><Relationship Id="rId58" Type="http://schemas.openxmlformats.org/officeDocument/2006/relationships/hyperlink" Target="http://www.westlaw.com/Find/Default.wl?rs=dfa1.0&amp;vr=2.0&amp;DB=350&amp;FindType=Y&amp;SerialNum=1991192105" TargetMode="External"/><Relationship Id="rId59" Type="http://schemas.openxmlformats.org/officeDocument/2006/relationships/hyperlink" Target="http://www.westlaw.com/Find/Default.wl?rs=dfa1.0&amp;vr=2.0&amp;DB=350&amp;FindType=Y&amp;SerialNum=1991187943" TargetMode="External"/><Relationship Id="rId40" Type="http://schemas.openxmlformats.org/officeDocument/2006/relationships/hyperlink" Target="http://www.westlaw.com/Find/Default.wl?rs=dfa1.0&amp;vr=2.0&amp;DB=350&amp;FindType=Y&amp;SerialNum=1992065439" TargetMode="External"/><Relationship Id="rId41" Type="http://schemas.openxmlformats.org/officeDocument/2006/relationships/hyperlink" Target="http://www.westlaw.com/Find/Default.wl?rs=dfa1.0&amp;vr=2.0&amp;DB=350&amp;FindType=Y&amp;SerialNum=1992063434" TargetMode="External"/><Relationship Id="rId42" Type="http://schemas.openxmlformats.org/officeDocument/2006/relationships/hyperlink" Target="http://www.westlaw.com/Find/Default.wl?rs=dfa1.0&amp;vr=2.0&amp;DB=350&amp;FindType=Y&amp;SerialNum=1992061424" TargetMode="External"/><Relationship Id="rId43" Type="http://schemas.openxmlformats.org/officeDocument/2006/relationships/hyperlink" Target="http://www.westlaw.com/Find/Default.wl?rs=dfa1.0&amp;vr=2.0&amp;DB=350&amp;FindType=Y&amp;SerialNum=1992045059" TargetMode="External"/><Relationship Id="rId44" Type="http://schemas.openxmlformats.org/officeDocument/2006/relationships/hyperlink" Target="http://www.westlaw.com/Find/Default.wl?rs=dfa1.0&amp;vr=2.0&amp;DB=350&amp;FindType=Y&amp;SerialNum=1992039255" TargetMode="External"/><Relationship Id="rId45" Type="http://schemas.openxmlformats.org/officeDocument/2006/relationships/hyperlink" Target="http://www.westlaw.com/Find/Default.wl?rs=dfa1.0&amp;vr=2.0&amp;DB=350&amp;FindType=Y&amp;SerialNum=1992032688" TargetMode="External"/><Relationship Id="rId46" Type="http://schemas.openxmlformats.org/officeDocument/2006/relationships/hyperlink" Target="http://www.westlaw.com/Find/Default.wl?rs=dfa1.0&amp;vr=2.0&amp;DB=350&amp;FindType=Y&amp;SerialNum=1992027540" TargetMode="External"/><Relationship Id="rId47" Type="http://schemas.openxmlformats.org/officeDocument/2006/relationships/hyperlink" Target="http://www.westlaw.com/Find/Default.wl?rs=dfa1.0&amp;vr=2.0&amp;DB=350&amp;FindType=Y&amp;SerialNum=1992019771" TargetMode="External"/><Relationship Id="rId48" Type="http://schemas.openxmlformats.org/officeDocument/2006/relationships/hyperlink" Target="http://www.westlaw.com/Find/Default.wl?rs=dfa1.0&amp;vr=2.0&amp;DB=350&amp;FindType=Y&amp;SerialNum=1991209879" TargetMode="External"/><Relationship Id="rId49" Type="http://schemas.openxmlformats.org/officeDocument/2006/relationships/hyperlink" Target="http://www.westlaw.com/Find/Default.wl?rs=dfa1.0&amp;vr=2.0&amp;DB=350&amp;FindType=Y&amp;SerialNum=1991208239" TargetMode="External"/><Relationship Id="rId1" Type="http://schemas.openxmlformats.org/officeDocument/2006/relationships/hyperlink" Target="http://www.westlaw.com/Find/Default.wl?rs=dfa1.0&amp;vr=2.0&amp;DB=780&amp;FindType=Y&amp;SerialNum=1992116314" TargetMode="External"/><Relationship Id="rId2" Type="http://schemas.openxmlformats.org/officeDocument/2006/relationships/hyperlink" Target="http://www.westlaw.com/Find/Default.wl?rs=dfa1.0&amp;vr=2.0&amp;DB=350&amp;FindType=Y&amp;SerialNum=1992157472" TargetMode="External"/><Relationship Id="rId3" Type="http://schemas.openxmlformats.org/officeDocument/2006/relationships/hyperlink" Target="http://www.westlaw.com/Find/Default.wl?rs=dfa1.0&amp;vr=2.0&amp;DB=350&amp;FindType=Y&amp;SerialNum=1992155690" TargetMode="External"/><Relationship Id="rId4" Type="http://schemas.openxmlformats.org/officeDocument/2006/relationships/hyperlink" Target="http://www.westlaw.com/Find/Default.wl?rs=dfa1.0&amp;vr=2.0&amp;DB=350&amp;FindType=Y&amp;SerialNum=1992154370" TargetMode="External"/><Relationship Id="rId5" Type="http://schemas.openxmlformats.org/officeDocument/2006/relationships/hyperlink" Target="http://www.westlaw.com/Find/Default.wl?rs=dfa1.0&amp;vr=2.0&amp;DB=350&amp;FindType=Y&amp;SerialNum=1992154377" TargetMode="External"/><Relationship Id="rId6" Type="http://schemas.openxmlformats.org/officeDocument/2006/relationships/hyperlink" Target="http://www.westlaw.com/Find/Default.wl?rs=dfa1.0&amp;vr=2.0&amp;DB=350&amp;FindType=Y&amp;SerialNum=1992153427" TargetMode="External"/><Relationship Id="rId7" Type="http://schemas.openxmlformats.org/officeDocument/2006/relationships/hyperlink" Target="http://www.westlaw.com/Find/Default.wl?rs=dfa1.0&amp;vr=2.0&amp;DB=350&amp;FindType=Y&amp;SerialNum=1992150665" TargetMode="External"/><Relationship Id="rId8" Type="http://schemas.openxmlformats.org/officeDocument/2006/relationships/hyperlink" Target="http://www.westlaw.com/Find/Default.wl?rs=dfa1.0&amp;vr=2.0&amp;DB=350&amp;FindType=Y&amp;SerialNum=1992150661" TargetMode="External"/><Relationship Id="rId9" Type="http://schemas.openxmlformats.org/officeDocument/2006/relationships/hyperlink" Target="http://www.westlaw.com/Find/Default.wl?rs=dfa1.0&amp;vr=2.0&amp;DB=350&amp;FindType=Y&amp;SerialNum=1992145219" TargetMode="External"/><Relationship Id="rId30" Type="http://schemas.openxmlformats.org/officeDocument/2006/relationships/hyperlink" Target="http://www.westlaw.com/Find/Default.wl?rs=dfa1.0&amp;vr=2.0&amp;DB=350&amp;FindType=Y&amp;SerialNum=1992088618" TargetMode="External"/><Relationship Id="rId31" Type="http://schemas.openxmlformats.org/officeDocument/2006/relationships/hyperlink" Target="http://www.westlaw.com/Find/Default.wl?rs=dfa1.0&amp;vr=2.0&amp;DB=350&amp;FindType=Y&amp;SerialNum=1992082436" TargetMode="External"/><Relationship Id="rId32" Type="http://schemas.openxmlformats.org/officeDocument/2006/relationships/hyperlink" Target="http://www.westlaw.com/Find/Default.wl?rs=dfa1.0&amp;vr=2.0&amp;DB=350&amp;FindType=Y&amp;SerialNum=1992081919" TargetMode="External"/><Relationship Id="rId33" Type="http://schemas.openxmlformats.org/officeDocument/2006/relationships/hyperlink" Target="http://www.westlaw.com/Find/Default.wl?rs=dfa1.0&amp;vr=2.0&amp;DB=350&amp;FindType=Y&amp;SerialNum=1992080874" TargetMode="External"/><Relationship Id="rId34" Type="http://schemas.openxmlformats.org/officeDocument/2006/relationships/hyperlink" Target="http://www.westlaw.com/Find/Default.wl?rs=dfa1.0&amp;vr=2.0&amp;DB=350&amp;FindType=Y&amp;SerialNum=1992076935" TargetMode="External"/><Relationship Id="rId35" Type="http://schemas.openxmlformats.org/officeDocument/2006/relationships/hyperlink" Target="http://www.westlaw.com/Find/Default.wl?rs=dfa1.0&amp;vr=2.0&amp;DB=350&amp;FindType=Y&amp;SerialNum=1992076937" TargetMode="External"/><Relationship Id="rId36" Type="http://schemas.openxmlformats.org/officeDocument/2006/relationships/hyperlink" Target="http://www.westlaw.com/Find/Default.wl?rs=dfa1.0&amp;vr=2.0&amp;DB=350&amp;FindType=Y&amp;SerialNum=1992076944" TargetMode="External"/><Relationship Id="rId37" Type="http://schemas.openxmlformats.org/officeDocument/2006/relationships/hyperlink" Target="http://www.westlaw.com/Find/Default.wl?rs=dfa1.0&amp;vr=2.0&amp;DB=350&amp;FindType=Y&amp;SerialNum=1992073942" TargetMode="External"/><Relationship Id="rId38" Type="http://schemas.openxmlformats.org/officeDocument/2006/relationships/hyperlink" Target="http://www.westlaw.com/Find/Default.wl?rs=dfa1.0&amp;vr=2.0&amp;DB=350&amp;FindType=Y&amp;SerialNum=1992073944" TargetMode="External"/><Relationship Id="rId39" Type="http://schemas.openxmlformats.org/officeDocument/2006/relationships/hyperlink" Target="http://www.westlaw.com/Find/Default.wl?rs=dfa1.0&amp;vr=2.0&amp;DB=350&amp;FindType=Y&amp;SerialNum=1992070554" TargetMode="External"/><Relationship Id="rId70" Type="http://schemas.openxmlformats.org/officeDocument/2006/relationships/hyperlink" Target="http://www.westlaw.com/Find/Default.wl?rs=dfa1.0&amp;vr=2.0&amp;DB=350&amp;FindType=Y&amp;SerialNum=1991173217" TargetMode="External"/><Relationship Id="rId20" Type="http://schemas.openxmlformats.org/officeDocument/2006/relationships/hyperlink" Target="http://www.westlaw.com/Find/Default.wl?rs=dfa1.0&amp;vr=2.0&amp;DB=350&amp;FindType=Y&amp;SerialNum=1992116857" TargetMode="External"/><Relationship Id="rId21" Type="http://schemas.openxmlformats.org/officeDocument/2006/relationships/hyperlink" Target="http://www.westlaw.com/Find/Default.wl?rs=dfa1.0&amp;vr=2.0&amp;DB=350&amp;FindType=Y&amp;SerialNum=1992116793" TargetMode="External"/><Relationship Id="rId22" Type="http://schemas.openxmlformats.org/officeDocument/2006/relationships/hyperlink" Target="http://www.westlaw.com/Find/Default.wl?rs=dfa1.0&amp;vr=2.0&amp;DB=350&amp;FindType=Y&amp;SerialNum=1992114076" TargetMode="External"/><Relationship Id="rId23" Type="http://schemas.openxmlformats.org/officeDocument/2006/relationships/hyperlink" Target="http://www.westlaw.com/Find/Default.wl?rs=dfa1.0&amp;vr=2.0&amp;DB=350&amp;FindType=Y&amp;SerialNum=1992112418" TargetMode="External"/><Relationship Id="rId24" Type="http://schemas.openxmlformats.org/officeDocument/2006/relationships/hyperlink" Target="http://www.westlaw.com/Find/Default.wl?rs=dfa1.0&amp;vr=2.0&amp;DB=350&amp;FindType=Y&amp;SerialNum=1992112302" TargetMode="External"/><Relationship Id="rId25" Type="http://schemas.openxmlformats.org/officeDocument/2006/relationships/hyperlink" Target="http://www.westlaw.com/Find/Default.wl?rs=dfa1.0&amp;vr=2.0&amp;DB=350&amp;FindType=Y&amp;SerialNum=1992109700" TargetMode="External"/><Relationship Id="rId26" Type="http://schemas.openxmlformats.org/officeDocument/2006/relationships/hyperlink" Target="http://www.westlaw.com/Find/Default.wl?rs=dfa1.0&amp;vr=2.0&amp;DB=350&amp;FindType=Y&amp;SerialNum=1992098289" TargetMode="External"/><Relationship Id="rId27" Type="http://schemas.openxmlformats.org/officeDocument/2006/relationships/hyperlink" Target="http://www.westlaw.com/Find/Default.wl?rs=dfa1.0&amp;vr=2.0&amp;DB=350&amp;FindType=Y&amp;SerialNum=1992096038" TargetMode="External"/><Relationship Id="rId28" Type="http://schemas.openxmlformats.org/officeDocument/2006/relationships/hyperlink" Target="http://www.westlaw.com/Find/Default.wl?rs=dfa1.0&amp;vr=2.0&amp;DB=350&amp;FindType=Y&amp;SerialNum=1992094009" TargetMode="External"/><Relationship Id="rId29" Type="http://schemas.openxmlformats.org/officeDocument/2006/relationships/hyperlink" Target="http://www.westlaw.com/Find/Default.wl?rs=dfa1.0&amp;vr=2.0&amp;DB=350&amp;FindType=Y&amp;SerialNum=1992089617" TargetMode="External"/><Relationship Id="rId60" Type="http://schemas.openxmlformats.org/officeDocument/2006/relationships/hyperlink" Target="http://www.westlaw.com/Find/Default.wl?rs=dfa1.0&amp;vr=2.0&amp;DB=350&amp;FindType=Y&amp;SerialNum=1991187480" TargetMode="External"/><Relationship Id="rId61" Type="http://schemas.openxmlformats.org/officeDocument/2006/relationships/hyperlink" Target="http://www.westlaw.com/Find/Default.wl?rs=dfa1.0&amp;vr=2.0&amp;DB=350&amp;FindType=Y&amp;SerialNum=1991183867" TargetMode="External"/><Relationship Id="rId62" Type="http://schemas.openxmlformats.org/officeDocument/2006/relationships/hyperlink" Target="http://www.westlaw.com/Find/Default.wl?rs=dfa1.0&amp;vr=2.0&amp;DB=350&amp;FindType=Y&amp;SerialNum=1991173216" TargetMode="External"/><Relationship Id="rId10" Type="http://schemas.openxmlformats.org/officeDocument/2006/relationships/hyperlink" Target="http://www.westlaw.com/Find/Default.wl?rs=dfa1.0&amp;vr=2.0&amp;DB=350&amp;FindType=Y&amp;SerialNum=1992145313" TargetMode="External"/><Relationship Id="rId11" Type="http://schemas.openxmlformats.org/officeDocument/2006/relationships/hyperlink" Target="http://www.westlaw.com/Find/Default.wl?rs=dfa1.0&amp;vr=2.0&amp;DB=350&amp;FindType=Y&amp;SerialNum=1992143977" TargetMode="External"/><Relationship Id="rId12" Type="http://schemas.openxmlformats.org/officeDocument/2006/relationships/hyperlink" Target="http://www.westlaw.com/Find/Default.wl?rs=dfa1.0&amp;vr=2.0&amp;DB=350&amp;FindType=Y&amp;SerialNum=199214125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westlaw.com/Find/Default.wl?rs=dfa1.0&amp;vr=2.0&amp;DB=350&amp;FindType=Y&amp;SerialNum=1993120969" TargetMode="External"/><Relationship Id="rId14" Type="http://schemas.openxmlformats.org/officeDocument/2006/relationships/hyperlink" Target="http://www.westlaw.com/Find/Default.wl?rs=dfa1.0&amp;vr=2.0&amp;DB=350&amp;FindType=Y&amp;SerialNum=1993107274" TargetMode="External"/><Relationship Id="rId15" Type="http://schemas.openxmlformats.org/officeDocument/2006/relationships/hyperlink" Target="http://www.westlaw.com/Find/Default.wl?rs=dfa1.0&amp;vr=2.0&amp;DB=350&amp;FindType=Y&amp;SerialNum=1993107275" TargetMode="External"/><Relationship Id="rId16" Type="http://schemas.openxmlformats.org/officeDocument/2006/relationships/hyperlink" Target="http://www.westlaw.com/Find/Default.wl?rs=dfa1.0&amp;vr=2.0&amp;DB=350&amp;FindType=Y&amp;SerialNum=1993106679" TargetMode="External"/><Relationship Id="rId17" Type="http://schemas.openxmlformats.org/officeDocument/2006/relationships/hyperlink" Target="http://www.westlaw.com/Find/Default.wl?rs=dfa1.0&amp;vr=2.0&amp;DB=350&amp;FindType=Y&amp;SerialNum=1993104394" TargetMode="External"/><Relationship Id="rId18" Type="http://schemas.openxmlformats.org/officeDocument/2006/relationships/hyperlink" Target="http://www.westlaw.com/Find/Default.wl?rs=dfa1.0&amp;vr=2.0&amp;DB=350&amp;FindType=Y&amp;SerialNum=1993089506" TargetMode="External"/><Relationship Id="rId19" Type="http://schemas.openxmlformats.org/officeDocument/2006/relationships/hyperlink" Target="http://www.westlaw.com/Find/Default.wl?rs=dfa1.0&amp;vr=2.0&amp;DB=350&amp;FindType=Y&amp;SerialNum=1993097670" TargetMode="External"/><Relationship Id="rId50" Type="http://schemas.openxmlformats.org/officeDocument/2006/relationships/hyperlink" Target="http://www.westlaw.com/Find/Default.wl?rs=dfa1.0&amp;vr=2.0&amp;DB=350&amp;FindType=Y&amp;SerialNum=1992179755" TargetMode="External"/><Relationship Id="rId51" Type="http://schemas.openxmlformats.org/officeDocument/2006/relationships/hyperlink" Target="http://www.westlaw.com/Find/Default.wl?rs=dfa1.0&amp;vr=2.0&amp;DB=350&amp;FindType=Y&amp;SerialNum=1992178857" TargetMode="External"/><Relationship Id="rId52" Type="http://schemas.openxmlformats.org/officeDocument/2006/relationships/hyperlink" Target="http://www.westlaw.com/Find/Default.wl?rs=dfa1.0&amp;vr=2.0&amp;DB=350&amp;FindType=Y&amp;SerialNum=1992178732" TargetMode="External"/><Relationship Id="rId53" Type="http://schemas.openxmlformats.org/officeDocument/2006/relationships/hyperlink" Target="http://www.westlaw.com/Find/Default.wl?rs=dfa1.0&amp;vr=2.0&amp;DB=350&amp;FindType=Y&amp;SerialNum=1992176443" TargetMode="External"/><Relationship Id="rId54" Type="http://schemas.openxmlformats.org/officeDocument/2006/relationships/hyperlink" Target="http://www.westlaw.com/Find/Default.wl?rs=dfa1.0&amp;vr=2.0&amp;DB=350&amp;FindType=Y&amp;SerialNum=1992174070" TargetMode="External"/><Relationship Id="rId55" Type="http://schemas.openxmlformats.org/officeDocument/2006/relationships/hyperlink" Target="http://www.westlaw.com/Find/Default.wl?rs=dfa1.0&amp;vr=2.0&amp;DB=345&amp;FindType=Y&amp;SerialNum=1994159894" TargetMode="External"/><Relationship Id="rId56" Type="http://schemas.openxmlformats.org/officeDocument/2006/relationships/hyperlink" Target="http://www.westlaw.com/Find/Default.wl?rs=dfa1.0&amp;vr=2.0&amp;DB=345&amp;FindType=Y&amp;SerialNum=1993064934" TargetMode="External"/><Relationship Id="rId40" Type="http://schemas.openxmlformats.org/officeDocument/2006/relationships/hyperlink" Target="http://www.westlaw.com/Find/Default.wl?rs=dfa1.0&amp;vr=2.0&amp;DB=350&amp;FindType=Y&amp;SerialNum=1992224694" TargetMode="External"/><Relationship Id="rId41" Type="http://schemas.openxmlformats.org/officeDocument/2006/relationships/hyperlink" Target="http://www.westlaw.com/Find/Default.wl?rs=dfa1.0&amp;vr=2.0&amp;DB=350&amp;FindType=Y&amp;SerialNum=1992223857" TargetMode="External"/><Relationship Id="rId42" Type="http://schemas.openxmlformats.org/officeDocument/2006/relationships/hyperlink" Target="http://www.westlaw.com/Find/Default.wl?rs=dfa1.0&amp;vr=2.0&amp;DB=350&amp;FindType=Y&amp;SerialNum=1992221485" TargetMode="External"/><Relationship Id="rId43" Type="http://schemas.openxmlformats.org/officeDocument/2006/relationships/hyperlink" Target="http://www.westlaw.com/Find/Default.wl?rs=dfa1.0&amp;vr=2.0&amp;DB=350&amp;FindType=Y&amp;SerialNum=1992199656" TargetMode="External"/><Relationship Id="rId44" Type="http://schemas.openxmlformats.org/officeDocument/2006/relationships/hyperlink" Target="http://www.westlaw.com/Find/Default.wl?rs=dfa1.0&amp;vr=2.0&amp;DB=350&amp;FindType=Y&amp;SerialNum=1992197643" TargetMode="External"/><Relationship Id="rId45" Type="http://schemas.openxmlformats.org/officeDocument/2006/relationships/hyperlink" Target="http://www.westlaw.com/Find/Default.wl?rs=dfa1.0&amp;vr=2.0&amp;DB=350&amp;FindType=Y&amp;SerialNum=1992194885" TargetMode="External"/><Relationship Id="rId46" Type="http://schemas.openxmlformats.org/officeDocument/2006/relationships/hyperlink" Target="http://www.westlaw.com/Find/Default.wl?rs=dfa1.0&amp;vr=2.0&amp;DB=350&amp;FindType=Y&amp;SerialNum=1992189724" TargetMode="External"/><Relationship Id="rId47" Type="http://schemas.openxmlformats.org/officeDocument/2006/relationships/hyperlink" Target="http://www.westlaw.com/Find/Default.wl?rs=dfa1.0&amp;vr=2.0&amp;DB=350&amp;FindType=Y&amp;SerialNum=1992187779" TargetMode="External"/><Relationship Id="rId48" Type="http://schemas.openxmlformats.org/officeDocument/2006/relationships/hyperlink" Target="http://www.westlaw.com/Find/Default.wl?rs=dfa1.0&amp;vr=2.0&amp;DB=350&amp;FindType=Y&amp;SerialNum=1992187781" TargetMode="External"/><Relationship Id="rId49" Type="http://schemas.openxmlformats.org/officeDocument/2006/relationships/hyperlink" Target="http://www.westlaw.com/Find/Default.wl?rs=dfa1.0&amp;vr=2.0&amp;DB=350&amp;FindType=Y&amp;SerialNum=1992185973" TargetMode="External"/><Relationship Id="rId1" Type="http://schemas.openxmlformats.org/officeDocument/2006/relationships/hyperlink" Target="http://www.westlaw.com/Find/Default.wl?rs=dfa1.0&amp;vr=2.0&amp;DB=506&amp;FindType=Y&amp;SerialNum=1993177846" TargetMode="External"/><Relationship Id="rId2" Type="http://schemas.openxmlformats.org/officeDocument/2006/relationships/hyperlink" Target="http://www.westlaw.com/Find/Default.wl?rs=dfa1.0&amp;vr=2.0&amp;DB=506&amp;FindType=Y&amp;SerialNum=1993172482" TargetMode="External"/><Relationship Id="rId3" Type="http://schemas.openxmlformats.org/officeDocument/2006/relationships/hyperlink" Target="http://www.westlaw.com/Find/Default.wl?rs=dfa1.0&amp;vr=2.0&amp;DB=506&amp;FindType=Y&amp;SerialNum=1993165899" TargetMode="External"/><Relationship Id="rId4" Type="http://schemas.openxmlformats.org/officeDocument/2006/relationships/hyperlink" Target="http://www.westlaw.com/Find/Default.wl?rs=dfa1.0&amp;vr=2.0&amp;DB=506&amp;FindType=Y&amp;SerialNum=1993165901" TargetMode="External"/><Relationship Id="rId5" Type="http://schemas.openxmlformats.org/officeDocument/2006/relationships/hyperlink" Target="http://www.westlaw.com/Find/Default.wl?rs=dfa1.0&amp;vr=2.0&amp;DB=506&amp;FindType=Y&amp;SerialNum=1993165903" TargetMode="External"/><Relationship Id="rId6" Type="http://schemas.openxmlformats.org/officeDocument/2006/relationships/hyperlink" Target="http://www.westlaw.com/Find/Default.wl?rs=dfa1.0&amp;vr=2.0&amp;DB=506&amp;FindType=Y&amp;SerialNum=1993165500" TargetMode="External"/><Relationship Id="rId7" Type="http://schemas.openxmlformats.org/officeDocument/2006/relationships/hyperlink" Target="http://www.westlaw.com/Find/Default.wl?rs=dfa1.0&amp;vr=2.0&amp;DB=506&amp;FindType=Y&amp;SerialNum=1993161094" TargetMode="External"/><Relationship Id="rId8" Type="http://schemas.openxmlformats.org/officeDocument/2006/relationships/hyperlink" Target="http://www.westlaw.com/Find/Default.wl?rs=dfa1.0&amp;vr=2.0&amp;DB=506&amp;FindType=Y&amp;SerialNum=1993160208" TargetMode="External"/><Relationship Id="rId9" Type="http://schemas.openxmlformats.org/officeDocument/2006/relationships/hyperlink" Target="http://www.westlaw.com/Find/Default.wl?rs=dfa1.0&amp;vr=2.0&amp;DB=506&amp;FindType=Y&amp;SerialNum=1993151650" TargetMode="External"/><Relationship Id="rId30" Type="http://schemas.openxmlformats.org/officeDocument/2006/relationships/hyperlink" Target="http://www.westlaw.com/Find/Default.wl?rs=dfa1.0&amp;vr=2.0&amp;DB=350&amp;FindType=Y&amp;SerialNum=1993050990" TargetMode="External"/><Relationship Id="rId31" Type="http://schemas.openxmlformats.org/officeDocument/2006/relationships/hyperlink" Target="http://www.westlaw.com/Find/Default.wl?rs=dfa1.0&amp;vr=2.0&amp;DB=350&amp;FindType=Y&amp;SerialNum=1993052836" TargetMode="External"/><Relationship Id="rId32" Type="http://schemas.openxmlformats.org/officeDocument/2006/relationships/hyperlink" Target="http://www.westlaw.com/Find/Default.wl?rs=dfa1.0&amp;vr=2.0&amp;DB=350&amp;FindType=Y&amp;SerialNum=1993047630" TargetMode="External"/><Relationship Id="rId33" Type="http://schemas.openxmlformats.org/officeDocument/2006/relationships/hyperlink" Target="http://www.westlaw.com/Find/Default.wl?rs=dfa1.0&amp;vr=2.0&amp;DB=350&amp;FindType=Y&amp;SerialNum=1993046736" TargetMode="External"/><Relationship Id="rId34" Type="http://schemas.openxmlformats.org/officeDocument/2006/relationships/hyperlink" Target="http://www.westlaw.com/Find/Default.wl?rs=dfa1.0&amp;vr=2.0&amp;DB=350&amp;FindType=Y&amp;SerialNum=1993045493" TargetMode="External"/><Relationship Id="rId35" Type="http://schemas.openxmlformats.org/officeDocument/2006/relationships/hyperlink" Target="http://www.westlaw.com/Find/Default.wl?rs=dfa1.0&amp;vr=2.0&amp;DB=350&amp;FindType=Y&amp;SerialNum=1993042591" TargetMode="External"/><Relationship Id="rId36" Type="http://schemas.openxmlformats.org/officeDocument/2006/relationships/hyperlink" Target="http://www.westlaw.com/Find/Default.wl?rs=dfa1.0&amp;vr=2.0&amp;DB=350&amp;FindType=Y&amp;SerialNum=1993037981" TargetMode="External"/><Relationship Id="rId37" Type="http://schemas.openxmlformats.org/officeDocument/2006/relationships/hyperlink" Target="http://www.westlaw.com/Find/Default.wl?rs=dfa1.0&amp;vr=2.0&amp;DB=350&amp;FindType=Y&amp;SerialNum=1993033906" TargetMode="External"/><Relationship Id="rId38" Type="http://schemas.openxmlformats.org/officeDocument/2006/relationships/hyperlink" Target="http://www.westlaw.com/Find/Default.wl?rs=dfa1.0&amp;vr=2.0&amp;DB=350&amp;FindType=Y&amp;SerialNum=1993033918" TargetMode="External"/><Relationship Id="rId39" Type="http://schemas.openxmlformats.org/officeDocument/2006/relationships/hyperlink" Target="http://www.westlaw.com/Find/Default.wl?rs=dfa1.0&amp;vr=2.0&amp;DB=350&amp;FindType=Y&amp;SerialNum=1993033993" TargetMode="External"/><Relationship Id="rId20" Type="http://schemas.openxmlformats.org/officeDocument/2006/relationships/hyperlink" Target="http://www.westlaw.com/Find/Default.wl?rs=dfa1.0&amp;vr=2.0&amp;DB=350&amp;FindType=Y&amp;SerialNum=1993091261" TargetMode="External"/><Relationship Id="rId21" Type="http://schemas.openxmlformats.org/officeDocument/2006/relationships/hyperlink" Target="http://www.westlaw.com/Find/Default.wl?rs=dfa1.0&amp;vr=2.0&amp;DB=350&amp;FindType=Y&amp;SerialNum=1993082304" TargetMode="External"/><Relationship Id="rId22" Type="http://schemas.openxmlformats.org/officeDocument/2006/relationships/hyperlink" Target="http://www.westlaw.com/Find/Default.wl?rs=dfa1.0&amp;vr=2.0&amp;DB=350&amp;FindType=Y&amp;SerialNum=1993077280" TargetMode="External"/><Relationship Id="rId23" Type="http://schemas.openxmlformats.org/officeDocument/2006/relationships/hyperlink" Target="http://www.westlaw.com/Find/Default.wl?rs=dfa1.0&amp;vr=2.0&amp;DB=350&amp;FindType=Y&amp;SerialNum=1993077284" TargetMode="External"/><Relationship Id="rId24" Type="http://schemas.openxmlformats.org/officeDocument/2006/relationships/hyperlink" Target="http://www.westlaw.com/Find/Default.wl?rs=dfa1.0&amp;vr=2.0&amp;DB=350&amp;FindType=Y&amp;SerialNum=1993078357" TargetMode="External"/><Relationship Id="rId25" Type="http://schemas.openxmlformats.org/officeDocument/2006/relationships/hyperlink" Target="http://www.westlaw.com/Find/Default.wl?rs=dfa1.0&amp;vr=2.0&amp;DB=350&amp;FindType=Y&amp;SerialNum=1993076452" TargetMode="External"/><Relationship Id="rId26" Type="http://schemas.openxmlformats.org/officeDocument/2006/relationships/hyperlink" Target="http://www.westlaw.com/Find/Default.wl?rs=dfa1.0&amp;vr=2.0&amp;DB=350&amp;FindType=Y&amp;SerialNum=1993070530" TargetMode="External"/><Relationship Id="rId27" Type="http://schemas.openxmlformats.org/officeDocument/2006/relationships/hyperlink" Target="http://www.westlaw.com/Find/Default.wl?rs=dfa1.0&amp;vr=2.0&amp;DB=350&amp;FindType=Y&amp;SerialNum=1993061983" TargetMode="External"/><Relationship Id="rId28" Type="http://schemas.openxmlformats.org/officeDocument/2006/relationships/hyperlink" Target="http://www.westlaw.com/Find/Default.wl?rs=dfa1.0&amp;vr=2.0&amp;DB=350&amp;FindType=Y&amp;SerialNum=1993061985" TargetMode="External"/><Relationship Id="rId29" Type="http://schemas.openxmlformats.org/officeDocument/2006/relationships/hyperlink" Target="http://www.westlaw.com/Find/Default.wl?rs=dfa1.0&amp;vr=2.0&amp;DB=350&amp;FindType=Y&amp;SerialNum=1993051992" TargetMode="External"/><Relationship Id="rId10" Type="http://schemas.openxmlformats.org/officeDocument/2006/relationships/hyperlink" Target="http://www.westlaw.com/Find/Default.wl?rs=dfa1.0&amp;vr=2.0&amp;DB=350&amp;FindType=Y&amp;SerialNum=1993147286" TargetMode="External"/><Relationship Id="rId11" Type="http://schemas.openxmlformats.org/officeDocument/2006/relationships/hyperlink" Target="http://www.westlaw.com/Find/Default.wl?rs=dfa1.0&amp;vr=2.0&amp;DB=350&amp;FindType=Y&amp;SerialNum=1993143205" TargetMode="External"/><Relationship Id="rId12" Type="http://schemas.openxmlformats.org/officeDocument/2006/relationships/hyperlink" Target="http://www.westlaw.com/Find/Default.wl?rs=dfa1.0&amp;vr=2.0&amp;DB=350&amp;FindType=Y&amp;SerialNum=1993132627"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1994143068" TargetMode="External"/><Relationship Id="rId14" Type="http://schemas.openxmlformats.org/officeDocument/2006/relationships/hyperlink" Target="http://www.westlaw.com/Find/Default.wl?rs=dfa1.0&amp;vr=2.0&amp;DB=506&amp;FindType=Y&amp;SerialNum=1994143082" TargetMode="External"/><Relationship Id="rId15" Type="http://schemas.openxmlformats.org/officeDocument/2006/relationships/hyperlink" Target="http://www.westlaw.com/Find/Default.wl?rs=dfa1.0&amp;vr=2.0&amp;DB=506&amp;FindType=Y&amp;SerialNum=1994142069" TargetMode="External"/><Relationship Id="rId16" Type="http://schemas.openxmlformats.org/officeDocument/2006/relationships/hyperlink" Target="http://www.westlaw.com/Find/Default.wl?rs=dfa1.0&amp;vr=2.0&amp;DB=506&amp;FindType=Y&amp;SerialNum=1994139078" TargetMode="External"/><Relationship Id="rId17" Type="http://schemas.openxmlformats.org/officeDocument/2006/relationships/hyperlink" Target="http://www.westlaw.com/Find/Default.wl?rs=dfa1.0&amp;vr=2.0&amp;DB=506&amp;FindType=Y&amp;SerialNum=1994136117" TargetMode="External"/><Relationship Id="rId18" Type="http://schemas.openxmlformats.org/officeDocument/2006/relationships/hyperlink" Target="http://www.westlaw.com/Find/Default.wl?rs=dfa1.0&amp;vr=2.0&amp;DB=506&amp;FindType=Y&amp;SerialNum=1994136124" TargetMode="External"/><Relationship Id="rId19" Type="http://schemas.openxmlformats.org/officeDocument/2006/relationships/hyperlink" Target="http://www.westlaw.com/Find/Default.wl?rs=dfa1.0&amp;vr=2.0&amp;DB=506&amp;FindType=Y&amp;SerialNum=1994135268" TargetMode="External"/><Relationship Id="rId63" Type="http://schemas.openxmlformats.org/officeDocument/2006/relationships/hyperlink" Target="http://www.westlaw.com/Find/Default.wl?rs=dfa1.0&amp;vr=2.0&amp;DB=506&amp;FindType=Y&amp;SerialNum=1993225689" TargetMode="External"/><Relationship Id="rId64" Type="http://schemas.openxmlformats.org/officeDocument/2006/relationships/hyperlink" Target="http://www.westlaw.com/Find/Default.wl?rs=dfa1.0&amp;vr=2.0&amp;DB=506&amp;FindType=Y&amp;SerialNum=1993225693" TargetMode="External"/><Relationship Id="rId65" Type="http://schemas.openxmlformats.org/officeDocument/2006/relationships/hyperlink" Target="http://www.westlaw.com/Find/Default.wl?rs=dfa1.0&amp;vr=2.0&amp;DB=506&amp;FindType=Y&amp;SerialNum=1993226407" TargetMode="External"/><Relationship Id="rId66" Type="http://schemas.openxmlformats.org/officeDocument/2006/relationships/hyperlink" Target="http://www.westlaw.com/Find/Default.wl?rs=dfa1.0&amp;vr=2.0&amp;DB=506&amp;FindType=Y&amp;SerialNum=1993217569" TargetMode="External"/><Relationship Id="rId67" Type="http://schemas.openxmlformats.org/officeDocument/2006/relationships/hyperlink" Target="http://www.westlaw.com/Find/Default.wl?rs=dfa1.0&amp;vr=2.0&amp;DB=506&amp;FindType=Y&amp;SerialNum=1993215622" TargetMode="External"/><Relationship Id="rId68" Type="http://schemas.openxmlformats.org/officeDocument/2006/relationships/hyperlink" Target="http://www.westlaw.com/Find/Default.wl?rs=dfa1.0&amp;vr=2.0&amp;DB=506&amp;FindType=Y&amp;SerialNum=1993213730" TargetMode="External"/><Relationship Id="rId69" Type="http://schemas.openxmlformats.org/officeDocument/2006/relationships/hyperlink" Target="http://www.westlaw.com/Find/Default.wl?rs=dfa1.0&amp;vr=2.0&amp;DB=506&amp;FindType=Y&amp;SerialNum=1993213737" TargetMode="External"/><Relationship Id="rId50" Type="http://schemas.openxmlformats.org/officeDocument/2006/relationships/hyperlink" Target="http://www.westlaw.com/Find/Default.wl?rs=dfa1.0&amp;vr=2.0&amp;DB=506&amp;FindType=Y&amp;SerialNum=1994024122" TargetMode="External"/><Relationship Id="rId51" Type="http://schemas.openxmlformats.org/officeDocument/2006/relationships/hyperlink" Target="http://www.westlaw.com/Find/Default.wl?rs=dfa1.0&amp;vr=2.0&amp;DB=506&amp;FindType=Y&amp;SerialNum=1994024130" TargetMode="External"/><Relationship Id="rId52" Type="http://schemas.openxmlformats.org/officeDocument/2006/relationships/hyperlink" Target="http://www.westlaw.com/Find/Default.wl?rs=dfa1.0&amp;vr=2.0&amp;DB=506&amp;FindType=Y&amp;SerialNum=1994022214" TargetMode="External"/><Relationship Id="rId53" Type="http://schemas.openxmlformats.org/officeDocument/2006/relationships/hyperlink" Target="http://www.westlaw.com/Find/Default.wl?rs=dfa1.0&amp;vr=2.0&amp;DB=506&amp;FindType=Y&amp;SerialNum=1994019187" TargetMode="External"/><Relationship Id="rId54" Type="http://schemas.openxmlformats.org/officeDocument/2006/relationships/hyperlink" Target="http://www.westlaw.com/Find/Default.wl?rs=dfa1.0&amp;vr=2.0&amp;DB=506&amp;FindType=Y&amp;SerialNum=1993241298" TargetMode="External"/><Relationship Id="rId55" Type="http://schemas.openxmlformats.org/officeDocument/2006/relationships/hyperlink" Target="http://www.westlaw.com/Find/Default.wl?rs=dfa1.0&amp;vr=2.0&amp;DB=506&amp;FindType=Y&amp;SerialNum=1993238837" TargetMode="External"/><Relationship Id="rId56" Type="http://schemas.openxmlformats.org/officeDocument/2006/relationships/hyperlink" Target="http://www.westlaw.com/Find/Default.wl?rs=dfa1.0&amp;vr=2.0&amp;DB=506&amp;FindType=Y&amp;SerialNum=1993237255" TargetMode="External"/><Relationship Id="rId57" Type="http://schemas.openxmlformats.org/officeDocument/2006/relationships/hyperlink" Target="http://www.westlaw.com/Find/Default.wl?rs=dfa1.0&amp;vr=2.0&amp;DB=506&amp;FindType=Y&amp;SerialNum=1993235824" TargetMode="External"/><Relationship Id="rId58" Type="http://schemas.openxmlformats.org/officeDocument/2006/relationships/hyperlink" Target="http://www.westlaw.com/Find/Default.wl?rs=dfa1.0&amp;vr=2.0&amp;DB=506&amp;FindType=Y&amp;SerialNum=1993233569" TargetMode="External"/><Relationship Id="rId59" Type="http://schemas.openxmlformats.org/officeDocument/2006/relationships/hyperlink" Target="http://www.westlaw.com/Find/Default.wl?rs=dfa1.0&amp;vr=2.0&amp;DB=506&amp;FindType=Y&amp;SerialNum=1993234567" TargetMode="External"/><Relationship Id="rId40" Type="http://schemas.openxmlformats.org/officeDocument/2006/relationships/hyperlink" Target="http://www.westlaw.com/Find/Default.wl?rs=dfa1.0&amp;vr=2.0&amp;DB=506&amp;FindType=Y&amp;SerialNum=1994064491" TargetMode="External"/><Relationship Id="rId41" Type="http://schemas.openxmlformats.org/officeDocument/2006/relationships/hyperlink" Target="http://www.westlaw.com/Find/Default.wl?rs=dfa1.0&amp;vr=2.0&amp;DB=506&amp;FindType=Y&amp;SerialNum=1994065332" TargetMode="External"/><Relationship Id="rId42" Type="http://schemas.openxmlformats.org/officeDocument/2006/relationships/hyperlink" Target="http://www.westlaw.com/Find/Default.wl?rs=dfa1.0&amp;vr=2.0&amp;DB=506&amp;FindType=Y&amp;SerialNum=1994141655" TargetMode="External"/><Relationship Id="rId43" Type="http://schemas.openxmlformats.org/officeDocument/2006/relationships/hyperlink" Target="http://www.westlaw.com/Find/Default.wl?rs=dfa1.0&amp;vr=2.0&amp;DB=506&amp;FindType=Y&amp;SerialNum=1994062406" TargetMode="External"/><Relationship Id="rId44" Type="http://schemas.openxmlformats.org/officeDocument/2006/relationships/hyperlink" Target="http://www.westlaw.com/Find/Default.wl?rs=dfa1.0&amp;vr=2.0&amp;DB=506&amp;FindType=Y&amp;SerialNum=1994062408" TargetMode="External"/><Relationship Id="rId45" Type="http://schemas.openxmlformats.org/officeDocument/2006/relationships/hyperlink" Target="http://www.westlaw.com/Find/Default.wl?rs=dfa1.0&amp;vr=2.0&amp;DB=506&amp;FindType=Y&amp;SerialNum=1994055636" TargetMode="External"/><Relationship Id="rId46" Type="http://schemas.openxmlformats.org/officeDocument/2006/relationships/hyperlink" Target="http://www.westlaw.com/Find/Default.wl?rs=dfa1.0&amp;vr=2.0&amp;DB=506&amp;FindType=Y&amp;SerialNum=1994054237" TargetMode="External"/><Relationship Id="rId47" Type="http://schemas.openxmlformats.org/officeDocument/2006/relationships/hyperlink" Target="http://www.westlaw.com/Find/Default.wl?rs=dfa1.0&amp;vr=2.0&amp;DB=506&amp;FindType=Y&amp;SerialNum=1994054238" TargetMode="External"/><Relationship Id="rId48" Type="http://schemas.openxmlformats.org/officeDocument/2006/relationships/hyperlink" Target="http://www.westlaw.com/Find/Default.wl?rs=dfa1.0&amp;vr=2.0&amp;DB=506&amp;FindType=Y&amp;SerialNum=1994041822" TargetMode="External"/><Relationship Id="rId49" Type="http://schemas.openxmlformats.org/officeDocument/2006/relationships/hyperlink" Target="http://www.westlaw.com/Find/Default.wl?rs=dfa1.0&amp;vr=2.0&amp;DB=506&amp;FindType=Y&amp;SerialNum=1994028249" TargetMode="External"/><Relationship Id="rId1" Type="http://schemas.openxmlformats.org/officeDocument/2006/relationships/hyperlink" Target="http://www.westlaw.com/Find/Default.wl?rs=dfa1.0&amp;vr=2.0&amp;DB=506&amp;FindType=Y&amp;SerialNum=1994197048" TargetMode="External"/><Relationship Id="rId2" Type="http://schemas.openxmlformats.org/officeDocument/2006/relationships/hyperlink" Target="http://www.westlaw.com/Find/Default.wl?rs=dfa1.0&amp;vr=2.0&amp;DB=506&amp;FindType=Y&amp;SerialNum=1994197050" TargetMode="External"/><Relationship Id="rId3" Type="http://schemas.openxmlformats.org/officeDocument/2006/relationships/hyperlink" Target="http://www.westlaw.com/Find/Default.wl?rs=dfa1.0&amp;vr=2.0&amp;DB=506&amp;FindType=Y&amp;SerialNum=1994197057" TargetMode="External"/><Relationship Id="rId4" Type="http://schemas.openxmlformats.org/officeDocument/2006/relationships/hyperlink" Target="http://www.westlaw.com/Find/Default.wl?rs=dfa1.0&amp;vr=2.0&amp;DB=506&amp;FindType=Y&amp;SerialNum=1994196217" TargetMode="External"/><Relationship Id="rId5" Type="http://schemas.openxmlformats.org/officeDocument/2006/relationships/hyperlink" Target="http://www.westlaw.com/Find/Default.wl?rs=dfa1.0&amp;vr=2.0&amp;DB=506&amp;FindType=Y&amp;SerialNum=1994195595" TargetMode="External"/><Relationship Id="rId6" Type="http://schemas.openxmlformats.org/officeDocument/2006/relationships/hyperlink" Target="http://www.westlaw.com/Find/Default.wl?rs=dfa1.0&amp;vr=2.0&amp;DB=506&amp;FindType=Y&amp;SerialNum=1994188734" TargetMode="External"/><Relationship Id="rId7" Type="http://schemas.openxmlformats.org/officeDocument/2006/relationships/hyperlink" Target="http://www.westlaw.com/Find/Default.wl?rs=dfa1.0&amp;vr=2.0&amp;DB=506&amp;FindType=Y&amp;SerialNum=1994182761" TargetMode="External"/><Relationship Id="rId8" Type="http://schemas.openxmlformats.org/officeDocument/2006/relationships/hyperlink" Target="http://www.westlaw.com/Find/Default.wl?rs=dfa1.0&amp;vr=2.0&amp;DB=506&amp;FindType=Y&amp;SerialNum=1994182762" TargetMode="External"/><Relationship Id="rId9" Type="http://schemas.openxmlformats.org/officeDocument/2006/relationships/hyperlink" Target="http://www.westlaw.com/Find/Default.wl?rs=dfa1.0&amp;vr=2.0&amp;DB=506&amp;FindType=Y&amp;SerialNum=1994170719" TargetMode="External"/><Relationship Id="rId30" Type="http://schemas.openxmlformats.org/officeDocument/2006/relationships/hyperlink" Target="http://www.westlaw.com/Find/Default.wl?rs=dfa1.0&amp;vr=2.0&amp;DB=506&amp;FindType=Y&amp;SerialNum=1994098483" TargetMode="External"/><Relationship Id="rId31" Type="http://schemas.openxmlformats.org/officeDocument/2006/relationships/hyperlink" Target="http://www.westlaw.com/Find/Default.wl?rs=dfa1.0&amp;vr=2.0&amp;DB=506&amp;FindType=Y&amp;SerialNum=1994097919" TargetMode="External"/><Relationship Id="rId32" Type="http://schemas.openxmlformats.org/officeDocument/2006/relationships/hyperlink" Target="http://www.westlaw.com/Find/Default.wl?rs=dfa1.0&amp;vr=2.0&amp;DB=506&amp;FindType=Y&amp;SerialNum=1994096309" TargetMode="External"/><Relationship Id="rId33" Type="http://schemas.openxmlformats.org/officeDocument/2006/relationships/hyperlink" Target="http://www.westlaw.com/Find/Default.wl?rs=dfa1.0&amp;vr=2.0&amp;DB=506&amp;FindType=Y&amp;SerialNum=1994084003" TargetMode="External"/><Relationship Id="rId34" Type="http://schemas.openxmlformats.org/officeDocument/2006/relationships/hyperlink" Target="http://www.westlaw.com/Find/Default.wl?rs=dfa1.0&amp;vr=2.0&amp;DB=506&amp;FindType=Y&amp;SerialNum=1994084014" TargetMode="External"/><Relationship Id="rId35" Type="http://schemas.openxmlformats.org/officeDocument/2006/relationships/hyperlink" Target="http://www.westlaw.com/Find/Default.wl?rs=dfa1.0&amp;vr=2.0&amp;DB=506&amp;FindType=Y&amp;SerialNum=1994077676" TargetMode="External"/><Relationship Id="rId36" Type="http://schemas.openxmlformats.org/officeDocument/2006/relationships/hyperlink" Target="http://www.westlaw.com/Find/Default.wl?rs=dfa1.0&amp;vr=2.0&amp;DB=506&amp;FindType=Y&amp;SerialNum=1994065475" TargetMode="External"/><Relationship Id="rId37" Type="http://schemas.openxmlformats.org/officeDocument/2006/relationships/hyperlink" Target="http://www.westlaw.com/Find/Default.wl?rs=dfa1.0&amp;vr=2.0&amp;DB=506&amp;FindType=Y&amp;SerialNum=1994065476" TargetMode="External"/><Relationship Id="rId38" Type="http://schemas.openxmlformats.org/officeDocument/2006/relationships/hyperlink" Target="http://www.westlaw.com/Find/Default.wl?rs=dfa1.0&amp;vr=2.0&amp;DB=506&amp;FindType=Y&amp;SerialNum=1994065478" TargetMode="External"/><Relationship Id="rId39" Type="http://schemas.openxmlformats.org/officeDocument/2006/relationships/hyperlink" Target="http://www.westlaw.com/Find/Default.wl?rs=dfa1.0&amp;vr=2.0&amp;DB=506&amp;FindType=Y&amp;SerialNum=1994064489" TargetMode="External"/><Relationship Id="rId80" Type="http://schemas.openxmlformats.org/officeDocument/2006/relationships/hyperlink" Target="http://www.westlaw.com/Find/Default.wl?rs=dfa1.0&amp;vr=2.0&amp;DB=506&amp;FindType=Y&amp;SerialNum=1993230463" TargetMode="External"/><Relationship Id="rId81" Type="http://schemas.openxmlformats.org/officeDocument/2006/relationships/hyperlink" Target="http://www.westlaw.com/Find/Default.wl?rs=dfa1.0&amp;vr=2.0&amp;DB=506&amp;FindType=Y&amp;SerialNum=1993196826" TargetMode="External"/><Relationship Id="rId82" Type="http://schemas.openxmlformats.org/officeDocument/2006/relationships/hyperlink" Target="http://www.westlaw.com/Find/Default.wl?rs=dfa1.0&amp;vr=2.0&amp;DB=506&amp;FindType=Y&amp;SerialNum=1993193816" TargetMode="External"/><Relationship Id="rId83" Type="http://schemas.openxmlformats.org/officeDocument/2006/relationships/hyperlink" Target="http://www.westlaw.com/Find/Default.wl?rs=dfa1.0&amp;vr=2.0&amp;DB=345&amp;FindType=Y&amp;SerialNum=1993221888" TargetMode="External"/><Relationship Id="rId70" Type="http://schemas.openxmlformats.org/officeDocument/2006/relationships/hyperlink" Target="http://www.westlaw.com/Find/Default.wl?rs=dfa1.0&amp;vr=2.0&amp;DB=506&amp;FindType=Y&amp;SerialNum=1993213739" TargetMode="External"/><Relationship Id="rId71" Type="http://schemas.openxmlformats.org/officeDocument/2006/relationships/hyperlink" Target="http://www.westlaw.com/Find/Default.wl?rs=dfa1.0&amp;vr=2.0&amp;DB=506&amp;FindType=Y&amp;SerialNum=1993212813" TargetMode="External"/><Relationship Id="rId72" Type="http://schemas.openxmlformats.org/officeDocument/2006/relationships/hyperlink" Target="http://www.westlaw.com/Find/Default.wl?rs=dfa1.0&amp;vr=2.0&amp;DB=506&amp;FindType=Y&amp;SerialNum=1993212814" TargetMode="External"/><Relationship Id="rId20" Type="http://schemas.openxmlformats.org/officeDocument/2006/relationships/hyperlink" Target="http://www.westlaw.com/Find/Default.wl?rs=dfa1.0&amp;vr=2.0&amp;DB=506&amp;FindType=Y&amp;SerialNum=1994132346" TargetMode="External"/><Relationship Id="rId21" Type="http://schemas.openxmlformats.org/officeDocument/2006/relationships/hyperlink" Target="http://www.westlaw.com/Find/Default.wl?rs=dfa1.0&amp;vr=2.0&amp;DB=506&amp;FindType=Y&amp;SerialNum=1994131663" TargetMode="External"/><Relationship Id="rId22" Type="http://schemas.openxmlformats.org/officeDocument/2006/relationships/hyperlink" Target="http://www.westlaw.com/Find/Default.wl?rs=dfa1.0&amp;vr=2.0&amp;DB=506&amp;FindType=Y&amp;SerialNum=1994129282" TargetMode="External"/><Relationship Id="rId23" Type="http://schemas.openxmlformats.org/officeDocument/2006/relationships/hyperlink" Target="http://www.westlaw.com/Find/Default.wl?rs=dfa1.0&amp;vr=2.0&amp;DB=506&amp;FindType=Y&amp;SerialNum=1994129286" TargetMode="External"/><Relationship Id="rId24" Type="http://schemas.openxmlformats.org/officeDocument/2006/relationships/hyperlink" Target="http://www.westlaw.com/Find/Default.wl?rs=dfa1.0&amp;vr=2.0&amp;DB=506&amp;FindType=Y&amp;SerialNum=1994121516" TargetMode="External"/><Relationship Id="rId25" Type="http://schemas.openxmlformats.org/officeDocument/2006/relationships/hyperlink" Target="http://www.westlaw.com/Find/Default.wl?rs=dfa1.0&amp;vr=2.0&amp;DB=506&amp;FindType=Y&amp;SerialNum=1994116200" TargetMode="External"/><Relationship Id="rId26" Type="http://schemas.openxmlformats.org/officeDocument/2006/relationships/hyperlink" Target="http://www.westlaw.com/Find/Default.wl?rs=dfa1.0&amp;vr=2.0&amp;DB=506&amp;FindType=Y&amp;SerialNum=1994113098" TargetMode="External"/><Relationship Id="rId27" Type="http://schemas.openxmlformats.org/officeDocument/2006/relationships/hyperlink" Target="http://www.westlaw.com/Find/Default.wl?rs=dfa1.0&amp;vr=2.0&amp;DB=506&amp;FindType=Y&amp;SerialNum=1994112051" TargetMode="External"/><Relationship Id="rId28" Type="http://schemas.openxmlformats.org/officeDocument/2006/relationships/hyperlink" Target="http://www.westlaw.com/Find/Default.wl?rs=dfa1.0&amp;vr=2.0&amp;DB=506&amp;FindType=Y&amp;SerialNum=1994109901" TargetMode="External"/><Relationship Id="rId29" Type="http://schemas.openxmlformats.org/officeDocument/2006/relationships/hyperlink" Target="http://www.westlaw.com/Find/Default.wl?rs=dfa1.0&amp;vr=2.0&amp;DB=506&amp;FindType=Y&amp;SerialNum=1994098480" TargetMode="External"/><Relationship Id="rId73" Type="http://schemas.openxmlformats.org/officeDocument/2006/relationships/hyperlink" Target="http://www.westlaw.com/Find/Default.wl?rs=dfa1.0&amp;vr=2.0&amp;DB=506&amp;FindType=Y&amp;SerialNum=1993198256" TargetMode="External"/><Relationship Id="rId74" Type="http://schemas.openxmlformats.org/officeDocument/2006/relationships/hyperlink" Target="http://www.westlaw.com/Find/Default.wl?rs=dfa1.0&amp;vr=2.0&amp;DB=506&amp;FindType=Y&amp;SerialNum=1993197270" TargetMode="External"/><Relationship Id="rId75" Type="http://schemas.openxmlformats.org/officeDocument/2006/relationships/hyperlink" Target="http://www.westlaw.com/Find/Default.wl?rs=dfa1.0&amp;vr=2.0&amp;DB=506&amp;FindType=Y&amp;SerialNum=1993197327" TargetMode="External"/><Relationship Id="rId76" Type="http://schemas.openxmlformats.org/officeDocument/2006/relationships/hyperlink" Target="http://www.westlaw.com/Find/Default.wl?rs=dfa1.0&amp;vr=2.0&amp;DB=506&amp;FindType=Y&amp;SerialNum=1993192290" TargetMode="External"/><Relationship Id="rId77" Type="http://schemas.openxmlformats.org/officeDocument/2006/relationships/hyperlink" Target="http://www.westlaw.com/Find/Default.wl?rs=dfa1.0&amp;vr=2.0&amp;DB=506&amp;FindType=Y&amp;SerialNum=1993192291" TargetMode="External"/><Relationship Id="rId78" Type="http://schemas.openxmlformats.org/officeDocument/2006/relationships/hyperlink" Target="http://www.westlaw.com/Find/Default.wl?rs=dfa1.0&amp;vr=2.0&amp;DB=780&amp;FindType=Y&amp;SerialNum=1994113347" TargetMode="External"/><Relationship Id="rId79" Type="http://schemas.openxmlformats.org/officeDocument/2006/relationships/hyperlink" Target="http://www.westlaw.com/Find/Default.wl?rs=dfa1.0&amp;vr=2.0&amp;DB=506&amp;FindType=Y&amp;SerialNum=1994078295" TargetMode="External"/><Relationship Id="rId60" Type="http://schemas.openxmlformats.org/officeDocument/2006/relationships/hyperlink" Target="http://www.westlaw.com/Find/Default.wl?rs=dfa1.0&amp;vr=2.0&amp;DB=506&amp;FindType=Y&amp;SerialNum=1993230470" TargetMode="External"/><Relationship Id="rId61" Type="http://schemas.openxmlformats.org/officeDocument/2006/relationships/hyperlink" Target="http://www.westlaw.com/Find/Default.wl?rs=dfa1.0&amp;vr=2.0&amp;DB=506&amp;FindType=Y&amp;SerialNum=1993226494" TargetMode="External"/><Relationship Id="rId62" Type="http://schemas.openxmlformats.org/officeDocument/2006/relationships/hyperlink" Target="http://www.westlaw.com/Find/Default.wl?rs=dfa1.0&amp;vr=2.0&amp;DB=506&amp;FindType=Y&amp;SerialNum=1993225681" TargetMode="External"/><Relationship Id="rId10" Type="http://schemas.openxmlformats.org/officeDocument/2006/relationships/hyperlink" Target="http://www.westlaw.com/Find/Default.wl?rs=dfa1.0&amp;vr=2.0&amp;DB=506&amp;FindType=Y&amp;SerialNum=1994165978" TargetMode="External"/><Relationship Id="rId11" Type="http://schemas.openxmlformats.org/officeDocument/2006/relationships/hyperlink" Target="http://www.westlaw.com/Find/Default.wl?rs=dfa1.0&amp;vr=2.0&amp;DB=506&amp;FindType=Y&amp;SerialNum=1994155248" TargetMode="External"/><Relationship Id="rId12" Type="http://schemas.openxmlformats.org/officeDocument/2006/relationships/hyperlink" Target="http://www.westlaw.com/Find/Default.wl?rs=dfa1.0&amp;vr=2.0&amp;DB=506&amp;FindType=Y&amp;SerialNum=1994152533"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1995132376" TargetMode="External"/><Relationship Id="rId14" Type="http://schemas.openxmlformats.org/officeDocument/2006/relationships/hyperlink" Target="http://www.westlaw.com/Find/Default.wl?rs=dfa1.0&amp;vr=2.0&amp;DB=506&amp;FindType=Y&amp;SerialNum=1995126253" TargetMode="External"/><Relationship Id="rId15" Type="http://schemas.openxmlformats.org/officeDocument/2006/relationships/hyperlink" Target="http://www.westlaw.com/Find/Default.wl?rs=dfa1.0&amp;vr=2.0&amp;DB=506&amp;FindType=Y&amp;SerialNum=1995125036" TargetMode="External"/><Relationship Id="rId16" Type="http://schemas.openxmlformats.org/officeDocument/2006/relationships/hyperlink" Target="http://www.westlaw.com/Find/Default.wl?rs=dfa1.0&amp;vr=2.0&amp;DB=506&amp;FindType=Y&amp;SerialNum=1995122714" TargetMode="External"/><Relationship Id="rId17" Type="http://schemas.openxmlformats.org/officeDocument/2006/relationships/hyperlink" Target="http://www.westlaw.com/Find/Default.wl?rs=dfa1.0&amp;vr=2.0&amp;DB=506&amp;FindType=Y&amp;SerialNum=1995121574" TargetMode="External"/><Relationship Id="rId18" Type="http://schemas.openxmlformats.org/officeDocument/2006/relationships/hyperlink" Target="http://www.westlaw.com/Find/Default.wl?rs=dfa1.0&amp;vr=2.0&amp;DB=506&amp;FindType=Y&amp;SerialNum=1995115636" TargetMode="External"/><Relationship Id="rId19" Type="http://schemas.openxmlformats.org/officeDocument/2006/relationships/hyperlink" Target="http://www.westlaw.com/Find/Default.wl?rs=dfa1.0&amp;vr=2.0&amp;DB=506&amp;FindType=Y&amp;SerialNum=1995114224" TargetMode="External"/><Relationship Id="rId50" Type="http://schemas.openxmlformats.org/officeDocument/2006/relationships/hyperlink" Target="http://www.westlaw.com/Find/Default.wl?rs=dfa1.0&amp;vr=2.0&amp;DB=506&amp;FindType=Y&amp;SerialNum=1995047192" TargetMode="External"/><Relationship Id="rId51" Type="http://schemas.openxmlformats.org/officeDocument/2006/relationships/hyperlink" Target="http://www.westlaw.com/Find/Default.wl?rs=dfa1.0&amp;vr=2.0&amp;DB=1011&amp;FindType=Y&amp;SerialNum=1995157245" TargetMode="External"/><Relationship Id="rId52" Type="http://schemas.openxmlformats.org/officeDocument/2006/relationships/hyperlink" Target="http://www.westlaw.com/Find/Default.wl?rs=dfa1.0&amp;vr=2.0&amp;DB=345&amp;FindType=Y&amp;SerialNum=1995140513" TargetMode="External"/><Relationship Id="rId53" Type="http://schemas.openxmlformats.org/officeDocument/2006/relationships/hyperlink" Target="http://www.westlaw.com/Find/Default.wl?rs=dfa1.0&amp;vr=2.0&amp;FindType=Y&amp;SerialNum=1995145919" TargetMode="External"/><Relationship Id="rId40" Type="http://schemas.openxmlformats.org/officeDocument/2006/relationships/hyperlink" Target="http://www.westlaw.com/Find/Default.wl?rs=dfa1.0&amp;vr=2.0&amp;DB=506&amp;FindType=Y&amp;SerialNum=1995024039" TargetMode="External"/><Relationship Id="rId41" Type="http://schemas.openxmlformats.org/officeDocument/2006/relationships/hyperlink" Target="http://www.westlaw.com/Find/Default.wl?rs=dfa1.0&amp;vr=2.0&amp;DB=506&amp;FindType=Y&amp;SerialNum=1994253325" TargetMode="External"/><Relationship Id="rId42" Type="http://schemas.openxmlformats.org/officeDocument/2006/relationships/hyperlink" Target="http://www.westlaw.com/Find/Default.wl?rs=dfa1.0&amp;vr=2.0&amp;DB=506&amp;FindType=Y&amp;SerialNum=1994240217" TargetMode="External"/><Relationship Id="rId43" Type="http://schemas.openxmlformats.org/officeDocument/2006/relationships/hyperlink" Target="http://www.westlaw.com/Find/Default.wl?rs=dfa1.0&amp;vr=2.0&amp;DB=506&amp;FindType=Y&amp;SerialNum=1994235590" TargetMode="External"/><Relationship Id="rId44" Type="http://schemas.openxmlformats.org/officeDocument/2006/relationships/hyperlink" Target="http://www.westlaw.com/Find/Default.wl?rs=dfa1.0&amp;vr=2.0&amp;DB=506&amp;FindType=Y&amp;SerialNum=1994235591" TargetMode="External"/><Relationship Id="rId45" Type="http://schemas.openxmlformats.org/officeDocument/2006/relationships/hyperlink" Target="http://www.westlaw.com/Find/Default.wl?rs=dfa1.0&amp;vr=2.0&amp;DB=506&amp;FindType=Y&amp;SerialNum=1994234391" TargetMode="External"/><Relationship Id="rId46" Type="http://schemas.openxmlformats.org/officeDocument/2006/relationships/hyperlink" Target="http://www.westlaw.com/Find/Default.wl?rs=dfa1.0&amp;vr=2.0&amp;DB=506&amp;FindType=Y&amp;SerialNum=1994234060" TargetMode="External"/><Relationship Id="rId47" Type="http://schemas.openxmlformats.org/officeDocument/2006/relationships/hyperlink" Target="http://www.westlaw.com/Find/Default.wl?rs=dfa1.0&amp;vr=2.0&amp;DB=506&amp;FindType=Y&amp;SerialNum=1994218978" TargetMode="External"/><Relationship Id="rId48" Type="http://schemas.openxmlformats.org/officeDocument/2006/relationships/hyperlink" Target="http://www.westlaw.com/Find/Default.wl?rs=dfa1.0&amp;vr=2.0&amp;DB=506&amp;FindType=Y&amp;SerialNum=1994207896" TargetMode="External"/><Relationship Id="rId49" Type="http://schemas.openxmlformats.org/officeDocument/2006/relationships/hyperlink" Target="http://www.westlaw.com/Find/Default.wl?rs=dfa1.0&amp;vr=2.0&amp;DB=506&amp;FindType=Y&amp;SerialNum=1994201840" TargetMode="External"/><Relationship Id="rId1" Type="http://schemas.openxmlformats.org/officeDocument/2006/relationships/hyperlink" Target="http://www.westlaw.com/Find/Default.wl?rs=dfa1.0&amp;vr=2.0&amp;DB=506&amp;FindType=Y&amp;SerialNum=1995196121" TargetMode="External"/><Relationship Id="rId2" Type="http://schemas.openxmlformats.org/officeDocument/2006/relationships/hyperlink" Target="http://www.westlaw.com/Find/Default.wl?rs=dfa1.0&amp;vr=2.0&amp;DB=506&amp;FindType=Y&amp;SerialNum=1996141501" TargetMode="External"/><Relationship Id="rId3" Type="http://schemas.openxmlformats.org/officeDocument/2006/relationships/hyperlink" Target="http://www.westlaw.com/Find/Default.wl?rs=dfa1.0&amp;vr=2.0&amp;DB=506&amp;FindType=Y&amp;SerialNum=1995179464" TargetMode="External"/><Relationship Id="rId4" Type="http://schemas.openxmlformats.org/officeDocument/2006/relationships/hyperlink" Target="http://www.westlaw.com/Find/Default.wl?rs=dfa1.0&amp;vr=2.0&amp;DB=506&amp;FindType=Y&amp;SerialNum=1995178651" TargetMode="External"/><Relationship Id="rId5" Type="http://schemas.openxmlformats.org/officeDocument/2006/relationships/hyperlink" Target="http://www.westlaw.com/Find/Default.wl?rs=dfa1.0&amp;vr=2.0&amp;DB=506&amp;FindType=Y&amp;SerialNum=1995171982" TargetMode="External"/><Relationship Id="rId6" Type="http://schemas.openxmlformats.org/officeDocument/2006/relationships/hyperlink" Target="http://www.westlaw.com/Find/Default.wl?rs=dfa1.0&amp;vr=2.0&amp;DB=506&amp;FindType=Y&amp;SerialNum=1995171070" TargetMode="External"/><Relationship Id="rId7" Type="http://schemas.openxmlformats.org/officeDocument/2006/relationships/hyperlink" Target="http://www.westlaw.com/Find/Default.wl?rs=dfa1.0&amp;vr=2.0&amp;DB=506&amp;FindType=Y&amp;SerialNum=1995167928" TargetMode="External"/><Relationship Id="rId8" Type="http://schemas.openxmlformats.org/officeDocument/2006/relationships/hyperlink" Target="http://www.westlaw.com/Find/Default.wl?rs=dfa1.0&amp;vr=2.0&amp;DB=506&amp;FindType=Y&amp;SerialNum=1995159643" TargetMode="External"/><Relationship Id="rId9" Type="http://schemas.openxmlformats.org/officeDocument/2006/relationships/hyperlink" Target="http://www.westlaw.com/Find/Default.wl?rs=dfa1.0&amp;vr=2.0&amp;DB=506&amp;FindType=Y&amp;SerialNum=1995155526" TargetMode="External"/><Relationship Id="rId30" Type="http://schemas.openxmlformats.org/officeDocument/2006/relationships/hyperlink" Target="http://www.westlaw.com/Find/Default.wl?rs=dfa1.0&amp;vr=2.0&amp;DB=506&amp;FindType=Y&amp;SerialNum=1995054435" TargetMode="External"/><Relationship Id="rId31" Type="http://schemas.openxmlformats.org/officeDocument/2006/relationships/hyperlink" Target="http://www.westlaw.com/Find/Default.wl?rs=dfa1.0&amp;vr=2.0&amp;DB=506&amp;FindType=Y&amp;SerialNum=1995049503" TargetMode="External"/><Relationship Id="rId32" Type="http://schemas.openxmlformats.org/officeDocument/2006/relationships/hyperlink" Target="http://www.westlaw.com/Find/Default.wl?rs=dfa1.0&amp;vr=2.0&amp;DB=506&amp;FindType=Y&amp;SerialNum=1995048652" TargetMode="External"/><Relationship Id="rId33" Type="http://schemas.openxmlformats.org/officeDocument/2006/relationships/hyperlink" Target="http://www.westlaw.com/Find/Default.wl?rs=dfa1.0&amp;vr=2.0&amp;DB=506&amp;FindType=Y&amp;SerialNum=1995048698" TargetMode="External"/><Relationship Id="rId34" Type="http://schemas.openxmlformats.org/officeDocument/2006/relationships/hyperlink" Target="http://www.westlaw.com/Find/Default.wl?rs=dfa1.0&amp;vr=2.0&amp;DB=506&amp;FindType=Y&amp;SerialNum=1995048710" TargetMode="External"/><Relationship Id="rId35" Type="http://schemas.openxmlformats.org/officeDocument/2006/relationships/hyperlink" Target="http://www.westlaw.com/Find/Default.wl?rs=dfa1.0&amp;vr=2.0&amp;DB=506&amp;FindType=Y&amp;SerialNum=1995047192" TargetMode="External"/><Relationship Id="rId36" Type="http://schemas.openxmlformats.org/officeDocument/2006/relationships/hyperlink" Target="http://www.westlaw.com/Find/Default.wl?rs=dfa1.0&amp;vr=2.0&amp;DB=506&amp;FindType=Y&amp;SerialNum=1995046202" TargetMode="External"/><Relationship Id="rId37" Type="http://schemas.openxmlformats.org/officeDocument/2006/relationships/hyperlink" Target="http://www.westlaw.com/Find/Default.wl?rs=dfa1.0&amp;vr=2.0&amp;DB=506&amp;FindType=Y&amp;SerialNum=1995046207" TargetMode="External"/><Relationship Id="rId38" Type="http://schemas.openxmlformats.org/officeDocument/2006/relationships/hyperlink" Target="http://www.westlaw.com/Find/Default.wl?rs=dfa1.0&amp;vr=2.0&amp;DB=506&amp;FindType=Y&amp;SerialNum=1995031248" TargetMode="External"/><Relationship Id="rId39" Type="http://schemas.openxmlformats.org/officeDocument/2006/relationships/hyperlink" Target="http://www.westlaw.com/Find/Default.wl?rs=dfa1.0&amp;vr=2.0&amp;DB=506&amp;FindType=Y&amp;SerialNum=1995028491" TargetMode="External"/><Relationship Id="rId20" Type="http://schemas.openxmlformats.org/officeDocument/2006/relationships/hyperlink" Target="http://www.westlaw.com/Find/Default.wl?rs=dfa1.0&amp;vr=2.0&amp;DB=506&amp;FindType=Y&amp;SerialNum=1995126251" TargetMode="External"/><Relationship Id="rId21" Type="http://schemas.openxmlformats.org/officeDocument/2006/relationships/hyperlink" Target="http://www.westlaw.com/Find/Default.wl?rs=dfa1.0&amp;vr=2.0&amp;DB=506&amp;FindType=Y&amp;SerialNum=1995096841" TargetMode="External"/><Relationship Id="rId22" Type="http://schemas.openxmlformats.org/officeDocument/2006/relationships/hyperlink" Target="http://www.westlaw.com/Find/Default.wl?rs=dfa1.0&amp;vr=2.0&amp;DB=506&amp;FindType=Y&amp;SerialNum=1995096842" TargetMode="External"/><Relationship Id="rId23" Type="http://schemas.openxmlformats.org/officeDocument/2006/relationships/hyperlink" Target="http://www.westlaw.com/Find/Default.wl?rs=dfa1.0&amp;vr=2.0&amp;DB=506&amp;FindType=Y&amp;SerialNum=1995090053" TargetMode="External"/><Relationship Id="rId24" Type="http://schemas.openxmlformats.org/officeDocument/2006/relationships/hyperlink" Target="http://www.westlaw.com/Find/Default.wl?rs=dfa1.0&amp;vr=2.0&amp;FindType=Y&amp;SerialNum=1995073153" TargetMode="External"/><Relationship Id="rId25" Type="http://schemas.openxmlformats.org/officeDocument/2006/relationships/hyperlink" Target="http://www.westlaw.com/Find/Default.wl?rs=dfa1.0&amp;vr=2.0&amp;DB=506&amp;FindType=Y&amp;SerialNum=1995072235" TargetMode="External"/><Relationship Id="rId26" Type="http://schemas.openxmlformats.org/officeDocument/2006/relationships/hyperlink" Target="http://www.westlaw.com/Find/Default.wl?rs=dfa1.0&amp;vr=2.0&amp;DB=506&amp;FindType=Y&amp;SerialNum=1995072236" TargetMode="External"/><Relationship Id="rId27" Type="http://schemas.openxmlformats.org/officeDocument/2006/relationships/hyperlink" Target="http://www.westlaw.com/Find/Default.wl?rs=dfa1.0&amp;vr=2.0&amp;DB=506&amp;FindType=Y&amp;SerialNum=1995072366" TargetMode="External"/><Relationship Id="rId28" Type="http://schemas.openxmlformats.org/officeDocument/2006/relationships/hyperlink" Target="http://www.westlaw.com/Find/Default.wl?rs=dfa1.0&amp;vr=2.0&amp;FindType=Y&amp;SerialNum=2006119534" TargetMode="External"/><Relationship Id="rId29" Type="http://schemas.openxmlformats.org/officeDocument/2006/relationships/hyperlink" Target="http://www.westlaw.com/Find/Default.wl?rs=dfa1.0&amp;vr=2.0&amp;DB=506&amp;FindType=Y&amp;SerialNum=1995061869" TargetMode="External"/><Relationship Id="rId10" Type="http://schemas.openxmlformats.org/officeDocument/2006/relationships/hyperlink" Target="http://www.westlaw.com/Find/Default.wl?rs=dfa1.0&amp;vr=2.0&amp;DB=506&amp;FindType=Y&amp;SerialNum=1995154822" TargetMode="External"/><Relationship Id="rId11" Type="http://schemas.openxmlformats.org/officeDocument/2006/relationships/hyperlink" Target="http://www.westlaw.com/Find/Default.wl?rs=dfa1.0&amp;vr=2.0&amp;DB=506&amp;FindType=Y&amp;SerialNum=1995154248" TargetMode="External"/><Relationship Id="rId12" Type="http://schemas.openxmlformats.org/officeDocument/2006/relationships/hyperlink" Target="http://www.westlaw.com/Find/Default.wl?rs=dfa1.0&amp;vr=2.0&amp;DB=506&amp;FindType=Y&amp;SerialNum=1995134564"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1996156213" TargetMode="External"/><Relationship Id="rId14" Type="http://schemas.openxmlformats.org/officeDocument/2006/relationships/hyperlink" Target="http://www.westlaw.com/Find/Default.wl?rs=dfa1.0&amp;vr=2.0&amp;DB=506&amp;FindType=Y&amp;SerialNum=1996150898" TargetMode="External"/><Relationship Id="rId15" Type="http://schemas.openxmlformats.org/officeDocument/2006/relationships/hyperlink" Target="http://www.westlaw.com/Find/Default.wl?rs=dfa1.0&amp;vr=2.0&amp;DB=506&amp;FindType=Y&amp;SerialNum=1996150905" TargetMode="External"/><Relationship Id="rId16" Type="http://schemas.openxmlformats.org/officeDocument/2006/relationships/hyperlink" Target="http://www.westlaw.com/Find/Default.wl?rs=dfa1.0&amp;vr=2.0&amp;DB=506&amp;FindType=Y&amp;SerialNum=1996140531" TargetMode="External"/><Relationship Id="rId17" Type="http://schemas.openxmlformats.org/officeDocument/2006/relationships/hyperlink" Target="http://www.westlaw.com/Find/Default.wl?rs=dfa1.0&amp;vr=2.0&amp;DB=506&amp;FindType=Y&amp;SerialNum=1996140973" TargetMode="External"/><Relationship Id="rId18" Type="http://schemas.openxmlformats.org/officeDocument/2006/relationships/hyperlink" Target="http://www.westlaw.com/Find/Default.wl?rs=dfa1.0&amp;vr=2.0&amp;DB=506&amp;FindType=Y&amp;SerialNum=1996141502" TargetMode="External"/><Relationship Id="rId19" Type="http://schemas.openxmlformats.org/officeDocument/2006/relationships/hyperlink" Target="http://www.westlaw.com/Find/Default.wl?rs=dfa1.0&amp;vr=2.0&amp;DB=506&amp;FindType=Y&amp;SerialNum=1996141406" TargetMode="External"/><Relationship Id="rId50" Type="http://schemas.openxmlformats.org/officeDocument/2006/relationships/hyperlink" Target="http://www.westlaw.com/Find/Default.wl?rs=dfa1.0&amp;vr=2.0&amp;DB=170&amp;FindType=Y&amp;SerialNum=1996215002" TargetMode="External"/><Relationship Id="rId51" Type="http://schemas.openxmlformats.org/officeDocument/2006/relationships/hyperlink" Target="http://www.westlaw.com/Find/Default.wl?rs=dfa1.0&amp;vr=2.0&amp;DB=345&amp;FindType=Y&amp;SerialNum=1996152089" TargetMode="External"/><Relationship Id="rId52" Type="http://schemas.openxmlformats.org/officeDocument/2006/relationships/hyperlink" Target="http://www.westlaw.com/Find/Default.wl?rs=dfa1.0&amp;vr=2.0&amp;DB=345&amp;FindType=Y&amp;SerialNum=1996159721" TargetMode="External"/><Relationship Id="rId53" Type="http://schemas.openxmlformats.org/officeDocument/2006/relationships/hyperlink" Target="http://www.westlaw.com/Find/Default.wl?rs=dfa1.0&amp;vr=2.0&amp;DB=1011&amp;FindType=Y&amp;SerialNum=1996094766" TargetMode="External"/><Relationship Id="rId54" Type="http://schemas.openxmlformats.org/officeDocument/2006/relationships/hyperlink" Target="http://www.westlaw.com/Find/Default.wl?rs=dfa1.0&amp;vr=2.0&amp;DB=345&amp;FindType=Y&amp;SerialNum=1996108278" TargetMode="External"/><Relationship Id="rId55" Type="http://schemas.openxmlformats.org/officeDocument/2006/relationships/hyperlink" Target="http://www.westlaw.com/Find/Default.wl?rs=dfa1.0&amp;vr=2.0&amp;DB=164&amp;FindType=Y&amp;SerialNum=1996086203" TargetMode="External"/><Relationship Id="rId56" Type="http://schemas.openxmlformats.org/officeDocument/2006/relationships/hyperlink" Target="http://www.westlaw.com/Find/Default.wl?rs=dfa1.0&amp;vr=2.0&amp;FindType=Y&amp;SerialNum=1996063695" TargetMode="External"/><Relationship Id="rId57" Type="http://schemas.openxmlformats.org/officeDocument/2006/relationships/hyperlink" Target="http://www.westlaw.com/Find/Default.wl?rs=dfa1.0&amp;vr=2.0&amp;DB=345&amp;FindType=Y&amp;SerialNum=1996024727" TargetMode="External"/><Relationship Id="rId40" Type="http://schemas.openxmlformats.org/officeDocument/2006/relationships/hyperlink" Target="http://www.westlaw.com/Find/Default.wl?rs=dfa1.0&amp;vr=2.0&amp;DB=506&amp;FindType=Y&amp;SerialNum=1995230562" TargetMode="External"/><Relationship Id="rId41" Type="http://schemas.openxmlformats.org/officeDocument/2006/relationships/hyperlink" Target="http://www.westlaw.com/Find/Default.wl?rs=dfa1.0&amp;vr=2.0&amp;DB=506&amp;FindType=Y&amp;SerialNum=1995211616" TargetMode="External"/><Relationship Id="rId42" Type="http://schemas.openxmlformats.org/officeDocument/2006/relationships/hyperlink" Target="http://www.westlaw.com/Find/Default.wl?rs=dfa1.0&amp;vr=2.0&amp;DB=506&amp;FindType=Y&amp;SerialNum=1995210794" TargetMode="External"/><Relationship Id="rId43" Type="http://schemas.openxmlformats.org/officeDocument/2006/relationships/hyperlink" Target="http://www.westlaw.com/Find/Default.wl?rs=dfa1.0&amp;vr=2.0&amp;DB=506&amp;FindType=Y&amp;SerialNum=1995209578" TargetMode="External"/><Relationship Id="rId44" Type="http://schemas.openxmlformats.org/officeDocument/2006/relationships/hyperlink" Target="http://www.westlaw.com/Find/Default.wl?rs=dfa1.0&amp;vr=2.0&amp;DB=506&amp;FindType=Y&amp;SerialNum=1995209579" TargetMode="External"/><Relationship Id="rId45" Type="http://schemas.openxmlformats.org/officeDocument/2006/relationships/hyperlink" Target="http://www.westlaw.com/Find/Default.wl?rs=dfa1.0&amp;vr=2.0&amp;DB=780&amp;FindType=Y&amp;SerialNum=1996113129" TargetMode="External"/><Relationship Id="rId46" Type="http://schemas.openxmlformats.org/officeDocument/2006/relationships/hyperlink" Target="http://www.westlaw.com/Find/Default.wl?rs=dfa1.0&amp;vr=2.0&amp;DB=506&amp;FindType=Y&amp;SerialNum=1996172376" TargetMode="External"/><Relationship Id="rId47" Type="http://schemas.openxmlformats.org/officeDocument/2006/relationships/hyperlink" Target="http://www.westlaw.com/Find/Default.wl?rs=dfa1.0&amp;vr=2.0&amp;DB=506&amp;FindType=Y&amp;SerialNum=1996154933" TargetMode="External"/><Relationship Id="rId48" Type="http://schemas.openxmlformats.org/officeDocument/2006/relationships/hyperlink" Target="http://www.westlaw.com/Find/Default.wl?rs=dfa1.0&amp;vr=2.0&amp;DB=506&amp;FindType=Y&amp;SerialNum=1996150897" TargetMode="External"/><Relationship Id="rId49" Type="http://schemas.openxmlformats.org/officeDocument/2006/relationships/hyperlink" Target="http://www.westlaw.com/Find/Default.wl?rs=dfa1.0&amp;vr=2.0&amp;DB=506&amp;FindType=Y&amp;SerialNum=1995219752" TargetMode="External"/><Relationship Id="rId1" Type="http://schemas.openxmlformats.org/officeDocument/2006/relationships/hyperlink" Target="http://www.westlaw.com/Find/Default.wl?rs=dfa1.0&amp;vr=2.0&amp;DB=506&amp;FindType=Y&amp;SerialNum=1996208124" TargetMode="External"/><Relationship Id="rId2" Type="http://schemas.openxmlformats.org/officeDocument/2006/relationships/hyperlink" Target="http://www.westlaw.com/Find/Default.wl?rs=dfa1.0&amp;vr=2.0&amp;DB=506&amp;FindType=Y&amp;SerialNum=1996197278" TargetMode="External"/><Relationship Id="rId3" Type="http://schemas.openxmlformats.org/officeDocument/2006/relationships/hyperlink" Target="http://www.westlaw.com/Find/Default.wl?rs=dfa1.0&amp;vr=2.0&amp;DB=506&amp;FindType=Y&amp;SerialNum=1996197279" TargetMode="External"/><Relationship Id="rId4" Type="http://schemas.openxmlformats.org/officeDocument/2006/relationships/hyperlink" Target="http://www.westlaw.com/Find/Default.wl?rs=dfa1.0&amp;vr=2.0&amp;DB=506&amp;FindType=Y&amp;SerialNum=1996197280" TargetMode="External"/><Relationship Id="rId5" Type="http://schemas.openxmlformats.org/officeDocument/2006/relationships/hyperlink" Target="http://www.westlaw.com/Find/Default.wl?rs=dfa1.0&amp;vr=2.0&amp;DB=506&amp;FindType=Y&amp;SerialNum=1996173610" TargetMode="External"/><Relationship Id="rId6" Type="http://schemas.openxmlformats.org/officeDocument/2006/relationships/hyperlink" Target="http://www.westlaw.com/Find/Default.wl?rs=dfa1.0&amp;vr=2.0&amp;DB=506&amp;FindType=Y&amp;SerialNum=1996172377" TargetMode="External"/><Relationship Id="rId7" Type="http://schemas.openxmlformats.org/officeDocument/2006/relationships/hyperlink" Target="http://www.westlaw.com/Find/Default.wl?rs=dfa1.0&amp;vr=2.0&amp;DB=506&amp;FindType=Y&amp;SerialNum=1996170486" TargetMode="External"/><Relationship Id="rId8" Type="http://schemas.openxmlformats.org/officeDocument/2006/relationships/hyperlink" Target="http://www.westlaw.com/Find/Default.wl?rs=dfa1.0&amp;vr=2.0&amp;DB=506&amp;FindType=Y&amp;SerialNum=1996170487" TargetMode="External"/><Relationship Id="rId9" Type="http://schemas.openxmlformats.org/officeDocument/2006/relationships/hyperlink" Target="http://www.westlaw.com/Find/Default.wl?rs=dfa1.0&amp;vr=2.0&amp;DB=506&amp;FindType=Y&amp;SerialNum=1996170488" TargetMode="External"/><Relationship Id="rId30" Type="http://schemas.openxmlformats.org/officeDocument/2006/relationships/hyperlink" Target="http://www.westlaw.com/Find/Default.wl?rs=dfa1.0&amp;vr=2.0&amp;DB=506&amp;FindType=Y&amp;SerialNum=1996041447" TargetMode="External"/><Relationship Id="rId31" Type="http://schemas.openxmlformats.org/officeDocument/2006/relationships/hyperlink" Target="http://www.westlaw.com/Find/Default.wl?rs=dfa1.0&amp;vr=2.0&amp;DB=506&amp;FindType=Y&amp;SerialNum=1996032680" TargetMode="External"/><Relationship Id="rId32" Type="http://schemas.openxmlformats.org/officeDocument/2006/relationships/hyperlink" Target="http://www.westlaw.com/Find/Default.wl?rs=dfa1.0&amp;vr=2.0&amp;DB=506&amp;FindType=Y&amp;SerialNum=1996029681" TargetMode="External"/><Relationship Id="rId33" Type="http://schemas.openxmlformats.org/officeDocument/2006/relationships/hyperlink" Target="http://www.westlaw.com/Find/Default.wl?rs=dfa1.0&amp;vr=2.0&amp;DB=506&amp;FindType=Y&amp;SerialNum=1996029685" TargetMode="External"/><Relationship Id="rId34" Type="http://schemas.openxmlformats.org/officeDocument/2006/relationships/hyperlink" Target="http://www.westlaw.com/Find/Default.wl?rs=dfa1.0&amp;vr=2.0&amp;DB=506&amp;FindType=Y&amp;SerialNum=1996028069" TargetMode="External"/><Relationship Id="rId35" Type="http://schemas.openxmlformats.org/officeDocument/2006/relationships/hyperlink" Target="http://www.westlaw.com/Find/Default.wl?rs=dfa1.0&amp;vr=2.0&amp;DB=506&amp;FindType=Y&amp;SerialNum=1995252949" TargetMode="External"/><Relationship Id="rId36" Type="http://schemas.openxmlformats.org/officeDocument/2006/relationships/hyperlink" Target="http://www.westlaw.com/Find/Default.wl?rs=dfa1.0&amp;vr=2.0&amp;DB=506&amp;FindType=Y&amp;SerialNum=1995252955" TargetMode="External"/><Relationship Id="rId37" Type="http://schemas.openxmlformats.org/officeDocument/2006/relationships/hyperlink" Target="http://www.westlaw.com/Find/Default.wl?rs=dfa1.0&amp;vr=2.0&amp;DB=506&amp;FindType=Y&amp;SerialNum=1995252956" TargetMode="External"/><Relationship Id="rId38" Type="http://schemas.openxmlformats.org/officeDocument/2006/relationships/hyperlink" Target="http://www.westlaw.com/Find/Default.wl?rs=dfa1.0&amp;vr=2.0&amp;DB=506&amp;FindType=Y&amp;SerialNum=1995251181" TargetMode="External"/><Relationship Id="rId39" Type="http://schemas.openxmlformats.org/officeDocument/2006/relationships/hyperlink" Target="http://www.westlaw.com/Find/Default.wl?rs=dfa1.0&amp;vr=2.0&amp;DB=506&amp;FindType=Y&amp;SerialNum=1995243331" TargetMode="External"/><Relationship Id="rId20" Type="http://schemas.openxmlformats.org/officeDocument/2006/relationships/hyperlink" Target="http://www.westlaw.com/Find/Default.wl?rs=dfa1.0&amp;vr=2.0&amp;DB=506&amp;FindType=Y&amp;SerialNum=1996123166" TargetMode="External"/><Relationship Id="rId21" Type="http://schemas.openxmlformats.org/officeDocument/2006/relationships/hyperlink" Target="http://www.westlaw.com/Find/Default.wl?rs=dfa1.0&amp;vr=2.0&amp;DB=506&amp;FindType=Y&amp;SerialNum=1996113957" TargetMode="External"/><Relationship Id="rId22" Type="http://schemas.openxmlformats.org/officeDocument/2006/relationships/hyperlink" Target="http://www.westlaw.com/Find/Default.wl?rs=dfa1.0&amp;vr=2.0&amp;DB=506&amp;FindType=Y&amp;SerialNum=1996109399" TargetMode="External"/><Relationship Id="rId23" Type="http://schemas.openxmlformats.org/officeDocument/2006/relationships/hyperlink" Target="http://www.westlaw.com/Find/Default.wl?rs=dfa1.0&amp;vr=2.0&amp;DB=506&amp;FindType=Y&amp;SerialNum=1996084545" TargetMode="External"/><Relationship Id="rId24" Type="http://schemas.openxmlformats.org/officeDocument/2006/relationships/hyperlink" Target="http://www.westlaw.com/Find/Default.wl?rs=dfa1.0&amp;vr=2.0&amp;DB=506&amp;FindType=Y&amp;SerialNum=1996069448" TargetMode="External"/><Relationship Id="rId25" Type="http://schemas.openxmlformats.org/officeDocument/2006/relationships/hyperlink" Target="http://www.westlaw.com/Find/Default.wl?rs=dfa1.0&amp;vr=2.0&amp;DB=506&amp;FindType=Y&amp;SerialNum=1996069449" TargetMode="External"/><Relationship Id="rId26" Type="http://schemas.openxmlformats.org/officeDocument/2006/relationships/hyperlink" Target="http://www.westlaw.com/Find/Default.wl?rs=dfa1.0&amp;vr=2.0&amp;DB=506&amp;FindType=Y&amp;SerialNum=1996053089" TargetMode="External"/><Relationship Id="rId27" Type="http://schemas.openxmlformats.org/officeDocument/2006/relationships/hyperlink" Target="http://www.westlaw.com/Find/Default.wl?rs=dfa1.0&amp;vr=2.0&amp;DB=506&amp;FindType=Y&amp;SerialNum=1996047177" TargetMode="External"/><Relationship Id="rId28" Type="http://schemas.openxmlformats.org/officeDocument/2006/relationships/hyperlink" Target="http://www.westlaw.com/Find/Default.wl?rs=dfa1.0&amp;vr=2.0&amp;DB=506&amp;FindType=Y&amp;SerialNum=1996042488" TargetMode="External"/><Relationship Id="rId29" Type="http://schemas.openxmlformats.org/officeDocument/2006/relationships/hyperlink" Target="http://www.westlaw.com/Find/Default.wl?rs=dfa1.0&amp;vr=2.0&amp;DB=506&amp;FindType=Y&amp;SerialNum=1996042490" TargetMode="External"/><Relationship Id="rId10" Type="http://schemas.openxmlformats.org/officeDocument/2006/relationships/hyperlink" Target="http://www.westlaw.com/Find/Default.wl?rs=dfa1.0&amp;vr=2.0&amp;DB=506&amp;FindType=Y&amp;SerialNum=1996170497" TargetMode="External"/><Relationship Id="rId11" Type="http://schemas.openxmlformats.org/officeDocument/2006/relationships/hyperlink" Target="http://www.westlaw.com/Find/Default.wl?rs=dfa1.0&amp;vr=2.0&amp;DB=506&amp;FindType=Y&amp;SerialNum=1996163347" TargetMode="External"/><Relationship Id="rId12" Type="http://schemas.openxmlformats.org/officeDocument/2006/relationships/hyperlink" Target="http://www.westlaw.com/Find/Default.wl?rs=dfa1.0&amp;vr=2.0&amp;DB=506&amp;FindType=Y&amp;SerialNum=1996163356"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1997156296" TargetMode="External"/><Relationship Id="rId14" Type="http://schemas.openxmlformats.org/officeDocument/2006/relationships/hyperlink" Target="http://www.westlaw.com/Find/Default.wl?rs=dfa1.0&amp;vr=2.0&amp;DB=506&amp;FindType=Y&amp;SerialNum=1997155461" TargetMode="External"/><Relationship Id="rId15" Type="http://schemas.openxmlformats.org/officeDocument/2006/relationships/hyperlink" Target="http://www.westlaw.com/Find/Default.wl?rs=dfa1.0&amp;vr=2.0&amp;DB=506&amp;FindType=Y&amp;SerialNum=1997154158" TargetMode="External"/><Relationship Id="rId16" Type="http://schemas.openxmlformats.org/officeDocument/2006/relationships/hyperlink" Target="http://www.westlaw.com/Find/Default.wl?rs=dfa1.0&amp;vr=2.0&amp;DB=506&amp;FindType=Y&amp;SerialNum=1997154180" TargetMode="External"/><Relationship Id="rId17" Type="http://schemas.openxmlformats.org/officeDocument/2006/relationships/hyperlink" Target="http://www.westlaw.com/Find/Default.wl?rs=dfa1.0&amp;vr=2.0&amp;DB=506&amp;FindType=Y&amp;SerialNum=1997151941" TargetMode="External"/><Relationship Id="rId18" Type="http://schemas.openxmlformats.org/officeDocument/2006/relationships/hyperlink" Target="http://www.westlaw.com/Find/Default.wl?rs=dfa1.0&amp;vr=2.0&amp;DB=506&amp;FindType=Y&amp;SerialNum=1997147503" TargetMode="External"/><Relationship Id="rId19" Type="http://schemas.openxmlformats.org/officeDocument/2006/relationships/hyperlink" Target="http://www.westlaw.com/Find/Default.wl?rs=dfa1.0&amp;vr=2.0&amp;DB=506&amp;FindType=Y&amp;SerialNum=1997140954" TargetMode="External"/><Relationship Id="rId63" Type="http://schemas.openxmlformats.org/officeDocument/2006/relationships/hyperlink" Target="http://www.westlaw.com/Find/Default.wl?rs=dfa1.0&amp;vr=2.0&amp;FindType=Y&amp;SerialNum=1997167020" TargetMode="External"/><Relationship Id="rId64" Type="http://schemas.openxmlformats.org/officeDocument/2006/relationships/hyperlink" Target="http://www.westlaw.com/Find/Default.wl?rs=dfa1.0&amp;vr=2.0&amp;DB=345&amp;FindType=Y&amp;SerialNum=1997105941" TargetMode="External"/><Relationship Id="rId65" Type="http://schemas.openxmlformats.org/officeDocument/2006/relationships/hyperlink" Target="http://www.westlaw.com/Find/Default.wl?rs=dfa1.0&amp;vr=2.0&amp;DB=345&amp;FindType=Y&amp;SerialNum=1997073766" TargetMode="External"/><Relationship Id="rId66" Type="http://schemas.openxmlformats.org/officeDocument/2006/relationships/hyperlink" Target="http://www.westlaw.com/Find/Default.wl?rs=dfa1.0&amp;vr=2.0&amp;DB=345&amp;FindType=Y&amp;SerialNum=1997060602" TargetMode="External"/><Relationship Id="rId67" Type="http://schemas.openxmlformats.org/officeDocument/2006/relationships/hyperlink" Target="http://www.westlaw.com/Find/Default.wl?rs=dfa1.0&amp;vr=2.0&amp;DB=345&amp;FindType=Y&amp;SerialNum=1997043779" TargetMode="External"/><Relationship Id="rId68" Type="http://schemas.openxmlformats.org/officeDocument/2006/relationships/hyperlink" Target="http://www.westlaw.com/Find/Default.wl?rs=dfa1.0&amp;vr=2.0&amp;FindType=Y&amp;SerialNum=1997023856" TargetMode="External"/><Relationship Id="rId69" Type="http://schemas.openxmlformats.org/officeDocument/2006/relationships/hyperlink" Target="http://www.westlaw.com/Find/Default.wl?rs=dfa1.0&amp;vr=2.0&amp;FindType=Y&amp;SerialNum=1996256408" TargetMode="External"/><Relationship Id="rId50" Type="http://schemas.openxmlformats.org/officeDocument/2006/relationships/hyperlink" Target="http://www.westlaw.com/Find/Default.wl?rs=dfa1.0&amp;vr=2.0&amp;DB=506&amp;FindType=Y&amp;SerialNum=1997034144" TargetMode="External"/><Relationship Id="rId51" Type="http://schemas.openxmlformats.org/officeDocument/2006/relationships/hyperlink" Target="http://www.westlaw.com/Find/Default.wl?rs=dfa1.0&amp;vr=2.0&amp;DB=506&amp;FindType=Y&amp;SerialNum=1997034429" TargetMode="External"/><Relationship Id="rId52" Type="http://schemas.openxmlformats.org/officeDocument/2006/relationships/hyperlink" Target="http://www.westlaw.com/Find/Default.wl?rs=dfa1.0&amp;vr=2.0&amp;DB=506&amp;FindType=Y&amp;SerialNum=1997031422" TargetMode="External"/><Relationship Id="rId53" Type="http://schemas.openxmlformats.org/officeDocument/2006/relationships/hyperlink" Target="http://www.westlaw.com/Find/Default.wl?rs=dfa1.0&amp;vr=2.0&amp;DB=506&amp;FindType=Y&amp;SerialNum=1997024206" TargetMode="External"/><Relationship Id="rId54" Type="http://schemas.openxmlformats.org/officeDocument/2006/relationships/hyperlink" Target="http://www.westlaw.com/Find/Default.wl?rs=dfa1.0&amp;vr=2.0&amp;DB=506&amp;FindType=Y&amp;SerialNum=1996283416" TargetMode="External"/><Relationship Id="rId55" Type="http://schemas.openxmlformats.org/officeDocument/2006/relationships/hyperlink" Target="http://www.westlaw.com/Find/Default.wl?rs=dfa1.0&amp;vr=2.0&amp;DB=506&amp;FindType=Y&amp;SerialNum=1996267661" TargetMode="External"/><Relationship Id="rId56" Type="http://schemas.openxmlformats.org/officeDocument/2006/relationships/hyperlink" Target="http://www.westlaw.com/Find/Default.wl?rs=dfa1.0&amp;vr=2.0&amp;DB=506&amp;FindType=Y&amp;SerialNum=1996266835" TargetMode="External"/><Relationship Id="rId57" Type="http://schemas.openxmlformats.org/officeDocument/2006/relationships/hyperlink" Target="http://www.westlaw.com/Find/Default.wl?rs=dfa1.0&amp;vr=2.0&amp;DB=506&amp;FindType=Y&amp;SerialNum=1996254630" TargetMode="External"/><Relationship Id="rId58" Type="http://schemas.openxmlformats.org/officeDocument/2006/relationships/hyperlink" Target="http://www.westlaw.com/Find/Default.wl?rs=dfa1.0&amp;vr=2.0&amp;DB=506&amp;FindType=Y&amp;SerialNum=1996235476" TargetMode="External"/><Relationship Id="rId59" Type="http://schemas.openxmlformats.org/officeDocument/2006/relationships/hyperlink" Target="http://www.westlaw.com/Find/Default.wl?rs=dfa1.0&amp;vr=2.0&amp;DB=506&amp;FindType=Y&amp;SerialNum=1996235500" TargetMode="External"/><Relationship Id="rId40" Type="http://schemas.openxmlformats.org/officeDocument/2006/relationships/hyperlink" Target="http://www.westlaw.com/Find/Default.wl?rs=dfa1.0&amp;vr=2.0&amp;DB=506&amp;FindType=Y&amp;SerialNum=1997078038" TargetMode="External"/><Relationship Id="rId41" Type="http://schemas.openxmlformats.org/officeDocument/2006/relationships/hyperlink" Target="http://www.westlaw.com/Find/Default.wl?rs=dfa1.0&amp;vr=2.0&amp;DB=506&amp;FindType=Y&amp;SerialNum=1997076479" TargetMode="External"/><Relationship Id="rId42" Type="http://schemas.openxmlformats.org/officeDocument/2006/relationships/hyperlink" Target="http://www.westlaw.com/Find/Default.wl?rs=dfa1.0&amp;vr=2.0&amp;DB=506&amp;FindType=Y&amp;SerialNum=1997066886" TargetMode="External"/><Relationship Id="rId43" Type="http://schemas.openxmlformats.org/officeDocument/2006/relationships/hyperlink" Target="http://www.westlaw.com/Find/Default.wl?rs=dfa1.0&amp;vr=2.0&amp;DB=506&amp;FindType=Y&amp;SerialNum=1997062586" TargetMode="External"/><Relationship Id="rId44" Type="http://schemas.openxmlformats.org/officeDocument/2006/relationships/hyperlink" Target="http://www.westlaw.com/Find/Default.wl?rs=dfa1.0&amp;vr=2.0&amp;DB=506&amp;FindType=Y&amp;SerialNum=1997058612" TargetMode="External"/><Relationship Id="rId45" Type="http://schemas.openxmlformats.org/officeDocument/2006/relationships/hyperlink" Target="http://www.westlaw.com/Find/Default.wl?rs=dfa1.0&amp;vr=2.0&amp;DB=506&amp;FindType=Y&amp;SerialNum=1997055863" TargetMode="External"/><Relationship Id="rId46" Type="http://schemas.openxmlformats.org/officeDocument/2006/relationships/hyperlink" Target="http://www.westlaw.com/Find/Default.wl?rs=dfa1.0&amp;vr=2.0&amp;DB=506&amp;FindType=Y&amp;SerialNum=1997057777" TargetMode="External"/><Relationship Id="rId47" Type="http://schemas.openxmlformats.org/officeDocument/2006/relationships/hyperlink" Target="http://www.westlaw.com/Find/Default.wl?rs=dfa1.0&amp;vr=2.0&amp;DB=506&amp;FindType=Y&amp;SerialNum=1997049459" TargetMode="External"/><Relationship Id="rId48" Type="http://schemas.openxmlformats.org/officeDocument/2006/relationships/hyperlink" Target="http://www.westlaw.com/Find/Default.wl?rs=dfa1.0&amp;vr=2.0&amp;DB=506&amp;FindType=Y&amp;SerialNum=1997045420" TargetMode="External"/><Relationship Id="rId49" Type="http://schemas.openxmlformats.org/officeDocument/2006/relationships/hyperlink" Target="http://www.westlaw.com/Find/Default.wl?rs=dfa1.0&amp;vr=2.0&amp;DB=506&amp;FindType=Y&amp;SerialNum=1997037222" TargetMode="External"/><Relationship Id="rId1" Type="http://schemas.openxmlformats.org/officeDocument/2006/relationships/hyperlink" Target="http://www.westlaw.com/Find/Default.wl?rs=dfa1.0&amp;vr=2.0&amp;DB=506&amp;FindType=Y&amp;SerialNum=1997198327" TargetMode="External"/><Relationship Id="rId2" Type="http://schemas.openxmlformats.org/officeDocument/2006/relationships/hyperlink" Target="http://www.westlaw.com/Find/Default.wl?rs=dfa1.0&amp;vr=2.0&amp;DB=506&amp;FindType=Y&amp;SerialNum=1997195876" TargetMode="External"/><Relationship Id="rId3" Type="http://schemas.openxmlformats.org/officeDocument/2006/relationships/hyperlink" Target="http://www.westlaw.com/Find/Default.wl?rs=dfa1.0&amp;vr=2.0&amp;DB=506&amp;FindType=Y&amp;SerialNum=1997193734" TargetMode="External"/><Relationship Id="rId4" Type="http://schemas.openxmlformats.org/officeDocument/2006/relationships/hyperlink" Target="http://www.westlaw.com/Find/Default.wl?rs=dfa1.0&amp;vr=2.0&amp;DB=506&amp;FindType=Y&amp;SerialNum=1997178567" TargetMode="External"/><Relationship Id="rId5" Type="http://schemas.openxmlformats.org/officeDocument/2006/relationships/hyperlink" Target="http://www.westlaw.com/Find/Default.wl?rs=dfa1.0&amp;vr=2.0&amp;DB=506&amp;FindType=Y&amp;SerialNum=1997177901" TargetMode="External"/><Relationship Id="rId6" Type="http://schemas.openxmlformats.org/officeDocument/2006/relationships/hyperlink" Target="http://www.westlaw.com/Find/Default.wl?rs=dfa1.0&amp;vr=2.0&amp;DB=506&amp;FindType=Y&amp;SerialNum=1997170145" TargetMode="External"/><Relationship Id="rId7" Type="http://schemas.openxmlformats.org/officeDocument/2006/relationships/hyperlink" Target="http://www.westlaw.com/Find/Default.wl?rs=dfa1.0&amp;vr=2.0&amp;DB=506&amp;FindType=Y&amp;SerialNum=1997164132" TargetMode="External"/><Relationship Id="rId8" Type="http://schemas.openxmlformats.org/officeDocument/2006/relationships/hyperlink" Target="http://www.westlaw.com/Find/Default.wl?rs=dfa1.0&amp;vr=2.0&amp;DB=506&amp;FindType=Y&amp;SerialNum=1997162233" TargetMode="External"/><Relationship Id="rId9" Type="http://schemas.openxmlformats.org/officeDocument/2006/relationships/hyperlink" Target="http://www.westlaw.com/Find/Default.wl?rs=dfa1.0&amp;vr=2.0&amp;DB=506&amp;FindType=Y&amp;SerialNum=1997162240" TargetMode="External"/><Relationship Id="rId30" Type="http://schemas.openxmlformats.org/officeDocument/2006/relationships/hyperlink" Target="http://www.westlaw.com/Find/Default.wl?rs=dfa1.0&amp;vr=2.0&amp;DB=506&amp;FindType=Y&amp;SerialNum=1997109313" TargetMode="External"/><Relationship Id="rId31" Type="http://schemas.openxmlformats.org/officeDocument/2006/relationships/hyperlink" Target="http://www.westlaw.com/Find/Default.wl?rs=dfa1.0&amp;vr=2.0&amp;DB=506&amp;FindType=Y&amp;SerialNum=1997109314" TargetMode="External"/><Relationship Id="rId32" Type="http://schemas.openxmlformats.org/officeDocument/2006/relationships/hyperlink" Target="http://www.westlaw.com/Find/Default.wl?rs=dfa1.0&amp;vr=2.0&amp;DB=506&amp;FindType=Y&amp;SerialNum=1997107711" TargetMode="External"/><Relationship Id="rId33" Type="http://schemas.openxmlformats.org/officeDocument/2006/relationships/hyperlink" Target="http://www.westlaw.com/Find/Default.wl?rs=dfa1.0&amp;vr=2.0&amp;DB=506&amp;FindType=Y&amp;SerialNum=1997104069" TargetMode="External"/><Relationship Id="rId34" Type="http://schemas.openxmlformats.org/officeDocument/2006/relationships/hyperlink" Target="http://www.westlaw.com/Find/Default.wl?rs=dfa1.0&amp;vr=2.0&amp;DB=506&amp;FindType=Y&amp;SerialNum=1997103101" TargetMode="External"/><Relationship Id="rId35" Type="http://schemas.openxmlformats.org/officeDocument/2006/relationships/hyperlink" Target="http://www.westlaw.com/Find/Default.wl?rs=dfa1.0&amp;vr=2.0&amp;DB=506&amp;FindType=Y&amp;SerialNum=1997102065" TargetMode="External"/><Relationship Id="rId36" Type="http://schemas.openxmlformats.org/officeDocument/2006/relationships/hyperlink" Target="http://www.westlaw.com/Find/Default.wl?rs=dfa1.0&amp;vr=2.0&amp;DB=506&amp;FindType=Y&amp;SerialNum=1997098479" TargetMode="External"/><Relationship Id="rId37" Type="http://schemas.openxmlformats.org/officeDocument/2006/relationships/hyperlink" Target="http://www.westlaw.com/Find/Default.wl?rs=dfa1.0&amp;vr=2.0&amp;DB=506&amp;FindType=Y&amp;SerialNum=1997089351" TargetMode="External"/><Relationship Id="rId38" Type="http://schemas.openxmlformats.org/officeDocument/2006/relationships/hyperlink" Target="http://www.westlaw.com/Find/Default.wl?rs=dfa1.0&amp;vr=2.0&amp;DB=506&amp;FindType=Y&amp;SerialNum=1997089353" TargetMode="External"/><Relationship Id="rId39" Type="http://schemas.openxmlformats.org/officeDocument/2006/relationships/hyperlink" Target="http://www.westlaw.com/Find/Default.wl?rs=dfa1.0&amp;vr=2.0&amp;DB=506&amp;FindType=Y&amp;SerialNum=1997087172" TargetMode="External"/><Relationship Id="rId70" Type="http://schemas.openxmlformats.org/officeDocument/2006/relationships/hyperlink" Target="http://www.westlaw.com/Find/Default.wl?rs=dfa1.0&amp;vr=2.0&amp;DB=506&amp;FindType=Y&amp;SerialNum=1997055863" TargetMode="External"/><Relationship Id="rId20" Type="http://schemas.openxmlformats.org/officeDocument/2006/relationships/hyperlink" Target="http://www.westlaw.com/Find/Default.wl?rs=dfa1.0&amp;vr=2.0&amp;DB=506&amp;FindType=Y&amp;SerialNum=1997137071" TargetMode="External"/><Relationship Id="rId21" Type="http://schemas.openxmlformats.org/officeDocument/2006/relationships/hyperlink" Target="http://www.westlaw.com/Find/Default.wl?rs=dfa1.0&amp;vr=2.0&amp;DB=506&amp;FindType=Y&amp;SerialNum=1997129444" TargetMode="External"/><Relationship Id="rId22" Type="http://schemas.openxmlformats.org/officeDocument/2006/relationships/hyperlink" Target="http://www.westlaw.com/Find/Default.wl?rs=dfa1.0&amp;vr=2.0&amp;DB=506&amp;FindType=Y&amp;SerialNum=1997126236" TargetMode="External"/><Relationship Id="rId23" Type="http://schemas.openxmlformats.org/officeDocument/2006/relationships/hyperlink" Target="http://www.westlaw.com/Find/Default.wl?rs=dfa1.0&amp;vr=2.0&amp;DB=506&amp;FindType=Y&amp;SerialNum=1997125151" TargetMode="External"/><Relationship Id="rId24" Type="http://schemas.openxmlformats.org/officeDocument/2006/relationships/hyperlink" Target="http://www.westlaw.com/Find/Default.wl?rs=dfa1.0&amp;vr=2.0&amp;DB=506&amp;FindType=Y&amp;SerialNum=1997124449" TargetMode="External"/><Relationship Id="rId25" Type="http://schemas.openxmlformats.org/officeDocument/2006/relationships/hyperlink" Target="http://www.westlaw.com/Find/Default.wl?rs=dfa1.0&amp;vr=2.0&amp;DB=506&amp;FindType=Y&amp;SerialNum=1997122915" TargetMode="External"/><Relationship Id="rId26" Type="http://schemas.openxmlformats.org/officeDocument/2006/relationships/hyperlink" Target="http://www.westlaw.com/Find/Default.wl?rs=dfa1.0&amp;vr=2.0&amp;DB=506&amp;FindType=Y&amp;SerialNum=1997118818" TargetMode="External"/><Relationship Id="rId27" Type="http://schemas.openxmlformats.org/officeDocument/2006/relationships/hyperlink" Target="http://www.westlaw.com/Find/Default.wl?rs=dfa1.0&amp;vr=2.0&amp;DB=506&amp;FindType=Y&amp;SerialNum=1997115362" TargetMode="External"/><Relationship Id="rId28" Type="http://schemas.openxmlformats.org/officeDocument/2006/relationships/hyperlink" Target="http://www.westlaw.com/Find/Default.wl?rs=dfa1.0&amp;vr=2.0&amp;DB=506&amp;FindType=Y&amp;SerialNum=1997114589" TargetMode="External"/><Relationship Id="rId29" Type="http://schemas.openxmlformats.org/officeDocument/2006/relationships/hyperlink" Target="http://www.westlaw.com/Find/Default.wl?rs=dfa1.0&amp;vr=2.0&amp;DB=506&amp;FindType=Y&amp;SerialNum=1997109312" TargetMode="External"/><Relationship Id="rId60" Type="http://schemas.openxmlformats.org/officeDocument/2006/relationships/hyperlink" Target="http://www.westlaw.com/Find/Default.wl?rs=dfa1.0&amp;vr=2.0&amp;DB=506&amp;FindType=Y&amp;SerialNum=1996228545" TargetMode="External"/><Relationship Id="rId61" Type="http://schemas.openxmlformats.org/officeDocument/2006/relationships/hyperlink" Target="http://www.westlaw.com/Find/Default.wl?rs=dfa1.0&amp;vr=2.0&amp;DB=506&amp;FindType=Y&amp;SerialNum=1996228565" TargetMode="External"/><Relationship Id="rId62" Type="http://schemas.openxmlformats.org/officeDocument/2006/relationships/hyperlink" Target="http://www.westlaw.com/Find/Default.wl?rs=dfa1.0&amp;vr=2.0&amp;FindType=Y&amp;SerialNum=1997146233" TargetMode="External"/><Relationship Id="rId10" Type="http://schemas.openxmlformats.org/officeDocument/2006/relationships/hyperlink" Target="http://www.westlaw.com/Find/Default.wl?rs=dfa1.0&amp;vr=2.0&amp;DB=506&amp;FindType=Y&amp;SerialNum=1997169237" TargetMode="External"/><Relationship Id="rId11" Type="http://schemas.openxmlformats.org/officeDocument/2006/relationships/hyperlink" Target="http://www.westlaw.com/Find/Default.wl?rs=dfa1.0&amp;vr=2.0&amp;DB=506&amp;FindType=Y&amp;SerialNum=1997183725" TargetMode="External"/><Relationship Id="rId12" Type="http://schemas.openxmlformats.org/officeDocument/2006/relationships/hyperlink" Target="http://www.westlaw.com/Find/Default.wl?rs=dfa1.0&amp;vr=2.0&amp;DB=506&amp;FindType=Y&amp;SerialNum=19971585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zoomScale="80" zoomScaleNormal="80" zoomScalePageLayoutView="80" workbookViewId="0">
      <selection activeCell="O32" sqref="O32"/>
    </sheetView>
  </sheetViews>
  <sheetFormatPr baseColWidth="10" defaultColWidth="8.83203125" defaultRowHeight="14" x14ac:dyDescent="0"/>
  <cols>
    <col min="1" max="1" width="13.5" bestFit="1" customWidth="1"/>
    <col min="2" max="2" width="13" customWidth="1"/>
    <col min="8" max="8" width="9.1640625" customWidth="1"/>
    <col min="12" max="12" width="10.83203125" bestFit="1" customWidth="1"/>
    <col min="13" max="13" width="10" customWidth="1"/>
    <col min="15" max="15" width="11.5" customWidth="1"/>
  </cols>
  <sheetData>
    <row r="1" spans="1:16" ht="18">
      <c r="A1" s="1" t="s">
        <v>22</v>
      </c>
    </row>
    <row r="2" spans="1:16">
      <c r="A2" s="2" t="s">
        <v>0</v>
      </c>
    </row>
    <row r="3" spans="1:16">
      <c r="A3" s="2" t="s">
        <v>1</v>
      </c>
    </row>
    <row r="5" spans="1:16" ht="49">
      <c r="A5" s="3" t="s">
        <v>2</v>
      </c>
      <c r="B5" s="3" t="s">
        <v>3</v>
      </c>
      <c r="C5" s="3" t="s">
        <v>4</v>
      </c>
      <c r="D5" s="3" t="s">
        <v>5</v>
      </c>
      <c r="E5" s="3" t="s">
        <v>6</v>
      </c>
      <c r="F5" s="3" t="s">
        <v>7</v>
      </c>
      <c r="G5" s="3" t="s">
        <v>8</v>
      </c>
      <c r="H5" s="3" t="s">
        <v>9</v>
      </c>
      <c r="I5" s="3" t="s">
        <v>10</v>
      </c>
      <c r="J5" s="4" t="s">
        <v>11</v>
      </c>
      <c r="K5" s="4" t="s">
        <v>12</v>
      </c>
      <c r="L5" s="4" t="s">
        <v>13</v>
      </c>
      <c r="M5" s="4" t="s">
        <v>14</v>
      </c>
      <c r="N5" s="4" t="s">
        <v>15</v>
      </c>
      <c r="O5" s="3" t="s">
        <v>16</v>
      </c>
      <c r="P5" s="3" t="s">
        <v>17</v>
      </c>
    </row>
    <row r="6" spans="1:16">
      <c r="A6" t="s">
        <v>18</v>
      </c>
      <c r="B6">
        <v>1989</v>
      </c>
      <c r="C6">
        <f t="shared" ref="C6:C22" si="0">D6+F6+G6+H6+I6+M6+N6+O6</f>
        <v>1</v>
      </c>
      <c r="D6">
        <f>'1989'!C4</f>
        <v>1</v>
      </c>
      <c r="E6">
        <f>'1989'!C5</f>
        <v>1</v>
      </c>
      <c r="F6">
        <f>'1989'!C6</f>
        <v>0</v>
      </c>
      <c r="G6">
        <f>'1989'!C7</f>
        <v>0</v>
      </c>
      <c r="H6">
        <f>'1989'!C8</f>
        <v>0</v>
      </c>
      <c r="I6">
        <f>'1989'!C9</f>
        <v>0</v>
      </c>
      <c r="J6">
        <f>'1989'!C13</f>
        <v>0</v>
      </c>
      <c r="K6">
        <f>'1989'!C14</f>
        <v>0</v>
      </c>
      <c r="L6">
        <f>'1989'!C12</f>
        <v>3</v>
      </c>
      <c r="M6">
        <f>'1989'!C10</f>
        <v>0</v>
      </c>
      <c r="N6">
        <f>'1989'!C11</f>
        <v>0</v>
      </c>
      <c r="O6">
        <v>0</v>
      </c>
      <c r="P6">
        <f>'1989'!C16</f>
        <v>0</v>
      </c>
    </row>
    <row r="7" spans="1:16">
      <c r="A7" t="s">
        <v>18</v>
      </c>
      <c r="B7">
        <v>1990</v>
      </c>
      <c r="C7">
        <f t="shared" si="0"/>
        <v>25</v>
      </c>
      <c r="D7">
        <f>'1990'!C4</f>
        <v>17</v>
      </c>
      <c r="E7">
        <f>'1990'!C5</f>
        <v>15</v>
      </c>
      <c r="F7">
        <f>'1990'!C6</f>
        <v>0</v>
      </c>
      <c r="G7">
        <f>'1990'!C7</f>
        <v>0</v>
      </c>
      <c r="H7">
        <f>'1990'!C8</f>
        <v>1</v>
      </c>
      <c r="I7">
        <f>'1990'!C9</f>
        <v>7</v>
      </c>
      <c r="J7">
        <f>'1990'!C13</f>
        <v>0</v>
      </c>
      <c r="K7">
        <f>'1990'!C14</f>
        <v>0</v>
      </c>
      <c r="L7">
        <f>'1990'!C12</f>
        <v>32</v>
      </c>
      <c r="M7">
        <f>'1990'!C10</f>
        <v>0</v>
      </c>
      <c r="N7">
        <f>'1990'!C11</f>
        <v>0</v>
      </c>
      <c r="O7">
        <v>0</v>
      </c>
      <c r="P7">
        <f>'1990'!C16</f>
        <v>0</v>
      </c>
    </row>
    <row r="8" spans="1:16">
      <c r="A8" t="s">
        <v>18</v>
      </c>
      <c r="B8">
        <v>1991</v>
      </c>
      <c r="C8">
        <f t="shared" si="0"/>
        <v>28</v>
      </c>
      <c r="D8">
        <f>'1991'!C4</f>
        <v>18</v>
      </c>
      <c r="E8">
        <f>'1990'!C5</f>
        <v>15</v>
      </c>
      <c r="F8">
        <f>'1990'!C6</f>
        <v>0</v>
      </c>
      <c r="G8">
        <f>'1990'!C7</f>
        <v>0</v>
      </c>
      <c r="H8">
        <f>'1991'!C8</f>
        <v>3</v>
      </c>
      <c r="I8">
        <f>'1991'!C9</f>
        <v>7</v>
      </c>
      <c r="J8">
        <f>'1991'!C13</f>
        <v>1</v>
      </c>
      <c r="K8">
        <f>'1991'!C14</f>
        <v>0</v>
      </c>
      <c r="L8">
        <f>'1991'!C12</f>
        <v>39</v>
      </c>
      <c r="M8">
        <f>'1991'!C10</f>
        <v>0</v>
      </c>
      <c r="N8">
        <f>'1991'!C11</f>
        <v>0</v>
      </c>
      <c r="O8">
        <v>0</v>
      </c>
      <c r="P8">
        <f>'1991'!C16</f>
        <v>3</v>
      </c>
    </row>
    <row r="9" spans="1:16">
      <c r="A9" t="s">
        <v>18</v>
      </c>
      <c r="B9">
        <v>1992</v>
      </c>
      <c r="C9">
        <f t="shared" si="0"/>
        <v>20</v>
      </c>
      <c r="D9">
        <f>'1992'!C4</f>
        <v>12</v>
      </c>
      <c r="E9">
        <f>'1992'!C5</f>
        <v>11</v>
      </c>
      <c r="F9">
        <f>'1992'!C6</f>
        <v>0</v>
      </c>
      <c r="G9">
        <f>'1992'!C7</f>
        <v>0</v>
      </c>
      <c r="H9">
        <f>'1992'!C8</f>
        <v>4</v>
      </c>
      <c r="I9">
        <f>'1992'!C9</f>
        <v>4</v>
      </c>
      <c r="J9">
        <f>'1992'!C13</f>
        <v>0</v>
      </c>
      <c r="K9">
        <f>'1992'!C14</f>
        <v>0</v>
      </c>
      <c r="L9">
        <f>'1992'!C12</f>
        <v>32</v>
      </c>
      <c r="M9">
        <f>'1992'!C10</f>
        <v>0</v>
      </c>
      <c r="N9">
        <f>'1992'!C10</f>
        <v>0</v>
      </c>
      <c r="O9">
        <v>0</v>
      </c>
      <c r="P9">
        <f>'1992'!C16</f>
        <v>4</v>
      </c>
    </row>
    <row r="10" spans="1:16">
      <c r="A10" t="s">
        <v>18</v>
      </c>
      <c r="B10">
        <v>1993</v>
      </c>
      <c r="C10">
        <f t="shared" si="0"/>
        <v>32</v>
      </c>
      <c r="D10">
        <f>'1993'!C4</f>
        <v>22</v>
      </c>
      <c r="E10">
        <f>'1993'!C5</f>
        <v>20</v>
      </c>
      <c r="F10">
        <f>'1993'!C6</f>
        <v>0</v>
      </c>
      <c r="G10">
        <f>'1993'!C7</f>
        <v>0</v>
      </c>
      <c r="H10">
        <f>'1993'!C8</f>
        <v>1</v>
      </c>
      <c r="I10">
        <f>'1993'!C9</f>
        <v>9</v>
      </c>
      <c r="J10">
        <f>'1993'!C13</f>
        <v>0</v>
      </c>
      <c r="K10">
        <f>'1993'!C14</f>
        <v>0</v>
      </c>
      <c r="L10">
        <f>'1993'!C12</f>
        <v>45</v>
      </c>
      <c r="M10">
        <f>'1993'!C10</f>
        <v>0</v>
      </c>
      <c r="N10">
        <f>'1993'!C11</f>
        <v>0</v>
      </c>
      <c r="O10">
        <v>0</v>
      </c>
      <c r="P10">
        <f>'1993'!C16</f>
        <v>6</v>
      </c>
    </row>
    <row r="11" spans="1:16">
      <c r="A11" t="s">
        <v>18</v>
      </c>
      <c r="B11">
        <v>1994</v>
      </c>
      <c r="C11">
        <f t="shared" si="0"/>
        <v>14</v>
      </c>
      <c r="D11">
        <f>'1994'!C4</f>
        <v>10</v>
      </c>
      <c r="E11">
        <f>'1994'!C5</f>
        <v>7</v>
      </c>
      <c r="F11">
        <f>'1994'!C6</f>
        <v>0</v>
      </c>
      <c r="G11">
        <f>'1994'!C7</f>
        <v>0</v>
      </c>
      <c r="H11">
        <f>'1994'!C8</f>
        <v>2</v>
      </c>
      <c r="I11">
        <f>'1994'!C9</f>
        <v>2</v>
      </c>
      <c r="J11">
        <f>'1994'!C13</f>
        <v>2</v>
      </c>
      <c r="K11">
        <f>'1994'!C14</f>
        <v>0</v>
      </c>
      <c r="L11">
        <f>'1994'!C12</f>
        <v>33</v>
      </c>
      <c r="M11">
        <f>'1994'!C10</f>
        <v>0</v>
      </c>
      <c r="N11">
        <f>'1994'!C11</f>
        <v>0</v>
      </c>
      <c r="O11">
        <v>0</v>
      </c>
      <c r="P11">
        <f>'1994'!C16</f>
        <v>4</v>
      </c>
    </row>
    <row r="12" spans="1:16">
      <c r="A12" t="s">
        <v>18</v>
      </c>
      <c r="B12">
        <v>1995</v>
      </c>
      <c r="C12">
        <f t="shared" si="0"/>
        <v>20</v>
      </c>
      <c r="D12">
        <f>'1995'!C4</f>
        <v>12</v>
      </c>
      <c r="E12">
        <f>'1995'!C5</f>
        <v>10</v>
      </c>
      <c r="F12">
        <f>'1995'!C6</f>
        <v>0</v>
      </c>
      <c r="G12">
        <f>'1995'!C7</f>
        <v>0</v>
      </c>
      <c r="H12">
        <f>'1995'!C8</f>
        <v>2</v>
      </c>
      <c r="I12">
        <f>'1995'!C9</f>
        <v>5</v>
      </c>
      <c r="J12">
        <f>'1995'!C13</f>
        <v>0</v>
      </c>
      <c r="K12">
        <f>'1995'!C14</f>
        <v>0</v>
      </c>
      <c r="L12">
        <f>'1995'!C12</f>
        <v>24</v>
      </c>
      <c r="M12">
        <f>'1995'!C10</f>
        <v>1</v>
      </c>
      <c r="N12">
        <f>'1995'!C11</f>
        <v>0</v>
      </c>
      <c r="O12">
        <v>0</v>
      </c>
      <c r="P12">
        <f>'1995'!C16</f>
        <v>13</v>
      </c>
    </row>
    <row r="13" spans="1:16">
      <c r="A13" t="s">
        <v>18</v>
      </c>
      <c r="B13">
        <v>1996</v>
      </c>
      <c r="C13">
        <f t="shared" si="0"/>
        <v>26</v>
      </c>
      <c r="D13">
        <f>'1996'!C4</f>
        <v>13</v>
      </c>
      <c r="E13">
        <f>'1996'!C5</f>
        <v>11</v>
      </c>
      <c r="F13">
        <f>'1996'!C6</f>
        <v>0</v>
      </c>
      <c r="G13">
        <f>'1996'!C7</f>
        <v>0</v>
      </c>
      <c r="H13">
        <f>'1996'!C8</f>
        <v>1</v>
      </c>
      <c r="I13">
        <f>'1996'!C9</f>
        <v>12</v>
      </c>
      <c r="J13">
        <f>'1996'!C13</f>
        <v>0</v>
      </c>
      <c r="K13">
        <f>'1996'!C14</f>
        <v>0</v>
      </c>
      <c r="L13">
        <f>'1996'!C12</f>
        <v>29</v>
      </c>
      <c r="M13">
        <f>'1996'!C10</f>
        <v>0</v>
      </c>
      <c r="N13">
        <f>'1996'!C11</f>
        <v>0</v>
      </c>
      <c r="O13">
        <v>0</v>
      </c>
      <c r="P13">
        <f>'1996'!C16</f>
        <v>15</v>
      </c>
    </row>
    <row r="14" spans="1:16">
      <c r="A14" t="s">
        <v>18</v>
      </c>
      <c r="B14">
        <v>1997</v>
      </c>
      <c r="C14">
        <f t="shared" si="0"/>
        <v>17</v>
      </c>
      <c r="D14">
        <f>'1997'!C4</f>
        <v>13</v>
      </c>
      <c r="E14">
        <f>'1997'!C5</f>
        <v>9</v>
      </c>
      <c r="F14">
        <f>'1997'!C6</f>
        <v>0</v>
      </c>
      <c r="G14">
        <f>'1997'!C7</f>
        <v>0</v>
      </c>
      <c r="H14">
        <f>'1997'!C8</f>
        <v>2</v>
      </c>
      <c r="I14">
        <f>'1997'!C9</f>
        <v>2</v>
      </c>
      <c r="J14">
        <f>'1997'!C13</f>
        <v>1</v>
      </c>
      <c r="K14">
        <f>'1997'!C14</f>
        <v>0</v>
      </c>
      <c r="L14">
        <f>'1997'!C12</f>
        <v>26</v>
      </c>
      <c r="M14">
        <f>'1997'!C10</f>
        <v>0</v>
      </c>
      <c r="N14">
        <f>'1997'!C11</f>
        <v>0</v>
      </c>
      <c r="O14">
        <v>0</v>
      </c>
      <c r="P14">
        <f>'1997'!C16</f>
        <v>5</v>
      </c>
    </row>
    <row r="15" spans="1:16">
      <c r="A15" t="s">
        <v>18</v>
      </c>
      <c r="B15">
        <v>1998</v>
      </c>
      <c r="C15">
        <f t="shared" si="0"/>
        <v>30</v>
      </c>
      <c r="D15">
        <f>'1998'!C4</f>
        <v>23</v>
      </c>
      <c r="E15">
        <f>'1998'!C5</f>
        <v>20</v>
      </c>
      <c r="F15">
        <f>'1998'!C6</f>
        <v>0</v>
      </c>
      <c r="G15">
        <f>'1998'!C7</f>
        <v>0</v>
      </c>
      <c r="H15">
        <f>'1998'!C8</f>
        <v>4</v>
      </c>
      <c r="I15">
        <f>'1998'!C9</f>
        <v>3</v>
      </c>
      <c r="J15">
        <f>'1998'!C13</f>
        <v>0</v>
      </c>
      <c r="K15">
        <f>'1998'!C14</f>
        <v>0</v>
      </c>
      <c r="L15">
        <f>'1998'!C12</f>
        <v>38</v>
      </c>
      <c r="M15">
        <f>'1998'!C10</f>
        <v>0</v>
      </c>
      <c r="N15">
        <f>'1998'!C11</f>
        <v>0</v>
      </c>
      <c r="O15">
        <v>0</v>
      </c>
      <c r="P15">
        <f>'1998'!C16</f>
        <v>3</v>
      </c>
    </row>
    <row r="16" spans="1:16">
      <c r="A16" t="s">
        <v>18</v>
      </c>
      <c r="B16">
        <v>1999</v>
      </c>
      <c r="C16">
        <f t="shared" si="0"/>
        <v>27</v>
      </c>
      <c r="D16">
        <f>'1999'!C4</f>
        <v>18</v>
      </c>
      <c r="E16">
        <f>'1999'!C5</f>
        <v>15</v>
      </c>
      <c r="F16">
        <f>'1998'!C6</f>
        <v>0</v>
      </c>
      <c r="G16">
        <f>'1998'!C7</f>
        <v>0</v>
      </c>
      <c r="H16">
        <f>'1999'!C8</f>
        <v>3</v>
      </c>
      <c r="I16">
        <f>'1999'!C9</f>
        <v>6</v>
      </c>
      <c r="J16">
        <f>'1999'!C13</f>
        <v>2</v>
      </c>
      <c r="K16">
        <f>'1999'!C14</f>
        <v>0</v>
      </c>
      <c r="L16">
        <f>'1999'!C12</f>
        <v>25</v>
      </c>
      <c r="M16">
        <f>'1999'!C10</f>
        <v>0</v>
      </c>
      <c r="N16">
        <f>'1999'!C11</f>
        <v>0</v>
      </c>
      <c r="O16">
        <v>0</v>
      </c>
      <c r="P16">
        <f>'1999'!C16</f>
        <v>5</v>
      </c>
    </row>
    <row r="17" spans="1:16">
      <c r="A17" t="s">
        <v>18</v>
      </c>
      <c r="B17">
        <v>2000</v>
      </c>
      <c r="C17">
        <f t="shared" si="0"/>
        <v>23</v>
      </c>
      <c r="D17">
        <f>'2000'!C4</f>
        <v>19</v>
      </c>
      <c r="E17">
        <f>'2000'!C5</f>
        <v>15</v>
      </c>
      <c r="F17">
        <f>'2000'!C6</f>
        <v>0</v>
      </c>
      <c r="G17">
        <f>'2000'!C7</f>
        <v>0</v>
      </c>
      <c r="H17">
        <f>'2000'!C8</f>
        <v>3</v>
      </c>
      <c r="I17">
        <f>'2000'!C9</f>
        <v>1</v>
      </c>
      <c r="J17">
        <f>'2000'!C13</f>
        <v>0</v>
      </c>
      <c r="K17">
        <f>'2000'!C14</f>
        <v>1</v>
      </c>
      <c r="L17">
        <f>'2000'!C12</f>
        <v>29</v>
      </c>
      <c r="M17">
        <f>'2000'!C10</f>
        <v>0</v>
      </c>
      <c r="N17">
        <f>'2000'!C11</f>
        <v>0</v>
      </c>
      <c r="O17">
        <v>0</v>
      </c>
      <c r="P17">
        <f>'2000'!C16</f>
        <v>8</v>
      </c>
    </row>
    <row r="18" spans="1:16">
      <c r="A18" t="s">
        <v>18</v>
      </c>
      <c r="B18">
        <v>2001</v>
      </c>
      <c r="C18">
        <f t="shared" si="0"/>
        <v>27</v>
      </c>
      <c r="D18">
        <f>'2001'!C4</f>
        <v>23</v>
      </c>
      <c r="E18">
        <f>'2001'!C5</f>
        <v>17</v>
      </c>
      <c r="F18">
        <f>'2001'!C6</f>
        <v>0</v>
      </c>
      <c r="G18">
        <f>'2001'!C7</f>
        <v>0</v>
      </c>
      <c r="H18">
        <f>'2001'!C8</f>
        <v>1</v>
      </c>
      <c r="I18">
        <f>'2001'!C9</f>
        <v>3</v>
      </c>
      <c r="J18">
        <f>'2001'!C13</f>
        <v>5</v>
      </c>
      <c r="K18">
        <f>'2001'!C14</f>
        <v>42</v>
      </c>
      <c r="L18">
        <f>'2001'!C12</f>
        <v>84</v>
      </c>
      <c r="M18">
        <f>'2001'!C10</f>
        <v>0</v>
      </c>
      <c r="N18">
        <f>'2001'!C11</f>
        <v>0</v>
      </c>
      <c r="O18">
        <v>0</v>
      </c>
      <c r="P18">
        <f>'2001'!C16</f>
        <v>10</v>
      </c>
    </row>
    <row r="19" spans="1:16">
      <c r="A19" t="s">
        <v>18</v>
      </c>
      <c r="B19">
        <v>2002</v>
      </c>
      <c r="C19">
        <f t="shared" si="0"/>
        <v>24</v>
      </c>
      <c r="D19">
        <f>'2002'!C4</f>
        <v>22</v>
      </c>
      <c r="E19">
        <f>'2002'!C5</f>
        <v>21</v>
      </c>
      <c r="F19">
        <f>'2002'!C6</f>
        <v>0</v>
      </c>
      <c r="G19">
        <f>'2002'!C7</f>
        <v>0</v>
      </c>
      <c r="H19">
        <f>'2002'!C8</f>
        <v>2</v>
      </c>
      <c r="I19">
        <f>'2002'!C9</f>
        <v>0</v>
      </c>
      <c r="J19">
        <f>'2002'!C13</f>
        <v>0</v>
      </c>
      <c r="K19">
        <f>'2002'!C14</f>
        <v>56</v>
      </c>
      <c r="L19">
        <f>'2002'!C12</f>
        <v>117</v>
      </c>
      <c r="M19">
        <f>'2002'!C10</f>
        <v>0</v>
      </c>
      <c r="N19">
        <f>'2002'!C11</f>
        <v>0</v>
      </c>
      <c r="O19">
        <v>0</v>
      </c>
      <c r="P19">
        <f>'2002'!C16</f>
        <v>4</v>
      </c>
    </row>
    <row r="20" spans="1:16">
      <c r="A20" t="s">
        <v>18</v>
      </c>
      <c r="B20">
        <v>2003</v>
      </c>
      <c r="C20">
        <f t="shared" si="0"/>
        <v>33</v>
      </c>
      <c r="D20">
        <f>'2003'!C4</f>
        <v>25</v>
      </c>
      <c r="E20">
        <f>'2003'!C5</f>
        <v>24</v>
      </c>
      <c r="F20">
        <f>'2003'!C6</f>
        <v>0</v>
      </c>
      <c r="G20">
        <f>'2003'!C7</f>
        <v>0</v>
      </c>
      <c r="H20">
        <f>'2003'!C8</f>
        <v>5</v>
      </c>
      <c r="I20">
        <f>'2003'!C9</f>
        <v>3</v>
      </c>
      <c r="J20">
        <f>'2003'!C13</f>
        <v>0</v>
      </c>
      <c r="K20">
        <f>'2003'!C14</f>
        <v>54</v>
      </c>
      <c r="L20">
        <f>'2003'!C12</f>
        <v>147</v>
      </c>
      <c r="M20">
        <f>'2003'!C10</f>
        <v>0</v>
      </c>
      <c r="N20">
        <f>'2003'!C11</f>
        <v>0</v>
      </c>
      <c r="O20">
        <v>0</v>
      </c>
      <c r="P20">
        <f>'2003'!C16</f>
        <v>7</v>
      </c>
    </row>
    <row r="21" spans="1:16">
      <c r="A21" t="s">
        <v>18</v>
      </c>
      <c r="B21">
        <v>2004</v>
      </c>
      <c r="C21">
        <f t="shared" si="0"/>
        <v>15</v>
      </c>
      <c r="D21">
        <f>'2004'!C4</f>
        <v>9</v>
      </c>
      <c r="E21">
        <f>'2004'!C5</f>
        <v>9</v>
      </c>
      <c r="F21">
        <f>'2004'!C6</f>
        <v>0</v>
      </c>
      <c r="G21">
        <f>'2004'!C7</f>
        <v>0</v>
      </c>
      <c r="H21">
        <f>'2004'!C8</f>
        <v>2</v>
      </c>
      <c r="I21">
        <f>'2004'!C9</f>
        <v>4</v>
      </c>
      <c r="J21">
        <f>'2004'!C13</f>
        <v>0</v>
      </c>
      <c r="K21">
        <f>'2004'!C14</f>
        <v>117</v>
      </c>
      <c r="L21">
        <f>'2004'!C12</f>
        <v>112</v>
      </c>
      <c r="M21">
        <f>'2004'!C10</f>
        <v>0</v>
      </c>
      <c r="N21">
        <f>'2004'!C11</f>
        <v>0</v>
      </c>
      <c r="O21">
        <v>0</v>
      </c>
      <c r="P21">
        <f>'2004'!C16</f>
        <v>10</v>
      </c>
    </row>
    <row r="22" spans="1:16">
      <c r="A22" s="5" t="s">
        <v>18</v>
      </c>
      <c r="B22" s="127" t="s">
        <v>7130</v>
      </c>
      <c r="C22" s="5">
        <f t="shared" si="0"/>
        <v>2</v>
      </c>
      <c r="D22" s="5">
        <f>'2005 (3d Cir)'!C4</f>
        <v>2</v>
      </c>
      <c r="E22" s="5">
        <f>'2005 (3d Cir)'!C5</f>
        <v>2</v>
      </c>
      <c r="F22" s="5">
        <f>'2005 (3d Cir)'!C6</f>
        <v>0</v>
      </c>
      <c r="G22" s="5">
        <f>'2005 (3d Cir)'!C7</f>
        <v>0</v>
      </c>
      <c r="H22" s="5">
        <f>'2005 (3d Cir)'!C8</f>
        <v>0</v>
      </c>
      <c r="I22" s="5">
        <f>'2005 (3d Cir)'!C9</f>
        <v>0</v>
      </c>
      <c r="J22" s="5">
        <f>'2005 (3d Cir)'!C13</f>
        <v>0</v>
      </c>
      <c r="K22" s="5">
        <f>'2005 (3d Cir)'!C14</f>
        <v>29</v>
      </c>
      <c r="L22" s="5">
        <f>'2005 (3d Cir)'!C12</f>
        <v>37</v>
      </c>
      <c r="M22" s="5">
        <f>'2005 (3d Cir)'!C10</f>
        <v>0</v>
      </c>
      <c r="N22" s="5">
        <f>'2005 (3d Cir)'!C11</f>
        <v>0</v>
      </c>
      <c r="O22" s="5">
        <v>0</v>
      </c>
      <c r="P22" s="127" t="s">
        <v>6192</v>
      </c>
    </row>
    <row r="23" spans="1:16">
      <c r="A23" s="6" t="s">
        <v>21</v>
      </c>
      <c r="C23">
        <f t="shared" ref="C23:P23" si="1">SUM(C6:C22)</f>
        <v>364</v>
      </c>
      <c r="D23">
        <f t="shared" si="1"/>
        <v>259</v>
      </c>
      <c r="E23">
        <f t="shared" si="1"/>
        <v>222</v>
      </c>
      <c r="F23">
        <f t="shared" si="1"/>
        <v>0</v>
      </c>
      <c r="G23">
        <f t="shared" si="1"/>
        <v>0</v>
      </c>
      <c r="H23">
        <f t="shared" si="1"/>
        <v>36</v>
      </c>
      <c r="I23">
        <f t="shared" si="1"/>
        <v>68</v>
      </c>
      <c r="J23">
        <f t="shared" si="1"/>
        <v>11</v>
      </c>
      <c r="K23">
        <f t="shared" si="1"/>
        <v>299</v>
      </c>
      <c r="L23">
        <f t="shared" si="1"/>
        <v>852</v>
      </c>
      <c r="M23">
        <f t="shared" si="1"/>
        <v>1</v>
      </c>
      <c r="N23">
        <f t="shared" si="1"/>
        <v>0</v>
      </c>
      <c r="O23">
        <f t="shared" si="1"/>
        <v>0</v>
      </c>
      <c r="P23">
        <f t="shared" si="1"/>
        <v>97</v>
      </c>
    </row>
    <row r="24" spans="1:16">
      <c r="A24" s="6" t="s">
        <v>19</v>
      </c>
      <c r="C24" s="168">
        <f>C23/17</f>
        <v>21.411764705882351</v>
      </c>
      <c r="D24" s="168">
        <f t="shared" ref="D24:P24" si="2">D23/17</f>
        <v>15.235294117647058</v>
      </c>
      <c r="E24" s="168">
        <f t="shared" si="2"/>
        <v>13.058823529411764</v>
      </c>
      <c r="F24" s="168">
        <f t="shared" si="2"/>
        <v>0</v>
      </c>
      <c r="G24" s="168">
        <f t="shared" si="2"/>
        <v>0</v>
      </c>
      <c r="H24" s="168">
        <f t="shared" si="2"/>
        <v>2.1176470588235294</v>
      </c>
      <c r="I24" s="168">
        <f t="shared" si="2"/>
        <v>4</v>
      </c>
      <c r="J24" s="168">
        <f t="shared" si="2"/>
        <v>0.6470588235294118</v>
      </c>
      <c r="K24" s="168">
        <f t="shared" si="2"/>
        <v>17.588235294117649</v>
      </c>
      <c r="L24" s="168">
        <f t="shared" si="2"/>
        <v>50.117647058823529</v>
      </c>
      <c r="M24" s="168">
        <f t="shared" si="2"/>
        <v>5.8823529411764705E-2</v>
      </c>
      <c r="N24" s="168">
        <f t="shared" si="2"/>
        <v>0</v>
      </c>
      <c r="O24" s="168">
        <f t="shared" si="2"/>
        <v>0</v>
      </c>
      <c r="P24" s="168">
        <f t="shared" si="2"/>
        <v>5.7058823529411766</v>
      </c>
    </row>
    <row r="26" spans="1:16">
      <c r="A26" s="7" t="s">
        <v>20</v>
      </c>
      <c r="B26" s="126" t="s">
        <v>7130</v>
      </c>
      <c r="C26" s="8">
        <f t="shared" ref="C26:C31" si="3">D26+F26+G26+H26+I26+M26+N26+O26</f>
        <v>9</v>
      </c>
      <c r="D26">
        <f>'2005 (S.Ct.)'!A2</f>
        <v>3</v>
      </c>
      <c r="E26">
        <f>'2005 (S.Ct.)'!B2</f>
        <v>1</v>
      </c>
      <c r="F26">
        <f>'2005 (S.Ct.)'!C2</f>
        <v>0</v>
      </c>
      <c r="G26">
        <f>'2005 (S.Ct.)'!D2</f>
        <v>0</v>
      </c>
      <c r="H26">
        <f>'2005 (S.Ct.)'!E2</f>
        <v>3</v>
      </c>
      <c r="I26">
        <f>'2005 (S.Ct.)'!F2</f>
        <v>2</v>
      </c>
      <c r="J26">
        <f>'2005 (S.Ct.)'!J2</f>
        <v>9</v>
      </c>
      <c r="K26">
        <f>'2005 (S.Ct.)'!K2</f>
        <v>0</v>
      </c>
      <c r="L26">
        <f>'2005 (S.Ct.)'!I2</f>
        <v>26</v>
      </c>
      <c r="M26">
        <f>'2005 (S.Ct.)'!G2</f>
        <v>1</v>
      </c>
      <c r="N26">
        <f>'2005 (S.Ct.)'!H2</f>
        <v>0</v>
      </c>
      <c r="O26">
        <v>0</v>
      </c>
      <c r="P26">
        <f>'2005 (S.Ct.)'!L2</f>
        <v>69</v>
      </c>
    </row>
    <row r="27" spans="1:16">
      <c r="A27" s="7" t="s">
        <v>20</v>
      </c>
      <c r="B27">
        <v>2006</v>
      </c>
      <c r="C27" s="8">
        <f t="shared" si="3"/>
        <v>16</v>
      </c>
      <c r="D27">
        <f>'2006'!A2</f>
        <v>6</v>
      </c>
      <c r="E27">
        <f>'2006'!B2</f>
        <v>3</v>
      </c>
      <c r="F27">
        <f>'2006'!C2</f>
        <v>0</v>
      </c>
      <c r="G27">
        <f>'2006'!D2</f>
        <v>1</v>
      </c>
      <c r="H27">
        <f>'2006'!E2</f>
        <v>5</v>
      </c>
      <c r="I27">
        <f>'2006'!F2</f>
        <v>4</v>
      </c>
      <c r="J27">
        <f>'2006'!J2</f>
        <v>7</v>
      </c>
      <c r="K27">
        <f>'2006'!K2</f>
        <v>0</v>
      </c>
      <c r="L27">
        <f>'2006'!I2</f>
        <v>52</v>
      </c>
      <c r="M27">
        <f>'2006'!G2</f>
        <v>0</v>
      </c>
      <c r="N27">
        <f>'2006'!H2</f>
        <v>0</v>
      </c>
      <c r="O27">
        <v>0</v>
      </c>
      <c r="P27">
        <f>'2006'!L2</f>
        <v>110</v>
      </c>
    </row>
    <row r="28" spans="1:16">
      <c r="A28" s="7" t="s">
        <v>20</v>
      </c>
      <c r="B28">
        <v>2007</v>
      </c>
      <c r="C28" s="8">
        <f t="shared" si="3"/>
        <v>18</v>
      </c>
      <c r="D28">
        <f>'2007'!A2</f>
        <v>7</v>
      </c>
      <c r="E28">
        <f>'2007'!B2</f>
        <v>1</v>
      </c>
      <c r="F28">
        <f>'2007'!C2</f>
        <v>0</v>
      </c>
      <c r="G28">
        <f>'2007'!D2</f>
        <v>0</v>
      </c>
      <c r="H28">
        <f>'2007'!E2</f>
        <v>4</v>
      </c>
      <c r="I28">
        <f>'2007'!F2</f>
        <v>7</v>
      </c>
      <c r="J28">
        <f>'2007'!J2</f>
        <v>6</v>
      </c>
      <c r="K28">
        <f>'2007'!K2</f>
        <v>0</v>
      </c>
      <c r="L28">
        <f>'2007'!I2</f>
        <v>48</v>
      </c>
      <c r="M28">
        <f>'2007'!G2</f>
        <v>0</v>
      </c>
      <c r="N28">
        <f>'2007'!H2</f>
        <v>0</v>
      </c>
      <c r="O28">
        <v>0</v>
      </c>
      <c r="P28">
        <f>'2007'!L2</f>
        <v>118</v>
      </c>
    </row>
    <row r="29" spans="1:16">
      <c r="A29" s="7" t="s">
        <v>20</v>
      </c>
      <c r="B29">
        <v>2008</v>
      </c>
      <c r="C29" s="8">
        <f t="shared" si="3"/>
        <v>24</v>
      </c>
      <c r="D29">
        <f>'2008'!A2</f>
        <v>7</v>
      </c>
      <c r="E29">
        <f>'2008'!B2</f>
        <v>3</v>
      </c>
      <c r="F29">
        <f>'2008'!C2</f>
        <v>0</v>
      </c>
      <c r="G29">
        <f>'2008'!D2</f>
        <v>0</v>
      </c>
      <c r="H29">
        <f>'2008'!E2</f>
        <v>9</v>
      </c>
      <c r="I29">
        <f>'2008'!F2</f>
        <v>6</v>
      </c>
      <c r="J29" s="130">
        <v>9</v>
      </c>
      <c r="K29">
        <f>'2008'!K2</f>
        <v>0</v>
      </c>
      <c r="L29">
        <f>'2008'!I2</f>
        <v>52</v>
      </c>
      <c r="M29" s="131">
        <f>'2008'!G2</f>
        <v>2</v>
      </c>
      <c r="N29">
        <f>'2008'!H2</f>
        <v>0</v>
      </c>
      <c r="O29">
        <v>0</v>
      </c>
      <c r="P29">
        <f>'2008'!L2</f>
        <v>133</v>
      </c>
    </row>
    <row r="30" spans="1:16">
      <c r="A30" s="7" t="s">
        <v>20</v>
      </c>
      <c r="B30">
        <v>2009</v>
      </c>
      <c r="C30" s="8">
        <f t="shared" si="3"/>
        <v>24</v>
      </c>
      <c r="D30">
        <f>'2009'!A2</f>
        <v>6</v>
      </c>
      <c r="E30">
        <f>'2009'!B2</f>
        <v>1</v>
      </c>
      <c r="F30">
        <f>'2009'!C2</f>
        <v>1</v>
      </c>
      <c r="G30">
        <f>'2009'!D2</f>
        <v>0</v>
      </c>
      <c r="H30">
        <f>'2009'!E2</f>
        <v>10</v>
      </c>
      <c r="I30">
        <f>'2009'!F2</f>
        <v>6</v>
      </c>
      <c r="J30">
        <f>'2009'!J2</f>
        <v>17</v>
      </c>
      <c r="K30">
        <f>'2009'!K2</f>
        <v>0</v>
      </c>
      <c r="L30">
        <f>'2009'!I2</f>
        <v>52</v>
      </c>
      <c r="M30">
        <f>'2009'!G2</f>
        <v>1</v>
      </c>
      <c r="N30">
        <f>'2009'!H2</f>
        <v>0</v>
      </c>
      <c r="O30">
        <v>0</v>
      </c>
      <c r="P30">
        <f>'2009'!L2</f>
        <v>173</v>
      </c>
    </row>
    <row r="31" spans="1:16">
      <c r="A31" s="9" t="s">
        <v>20</v>
      </c>
      <c r="B31" s="5">
        <v>2010</v>
      </c>
      <c r="C31" s="5">
        <f t="shared" si="3"/>
        <v>20</v>
      </c>
      <c r="D31" s="5">
        <f>'2010'!A2</f>
        <v>7</v>
      </c>
      <c r="E31" s="5">
        <f>'2010'!B2</f>
        <v>1</v>
      </c>
      <c r="F31" s="5">
        <f>'2010'!C2</f>
        <v>0</v>
      </c>
      <c r="G31" s="5">
        <f>'2010'!D2</f>
        <v>0</v>
      </c>
      <c r="H31" s="5">
        <f>'2010'!E2</f>
        <v>6</v>
      </c>
      <c r="I31" s="5">
        <f>'2010'!F2</f>
        <v>5</v>
      </c>
      <c r="J31" s="5">
        <f>'2010'!J2</f>
        <v>6</v>
      </c>
      <c r="K31" s="5">
        <f>'2010'!K2</f>
        <v>0</v>
      </c>
      <c r="L31" s="5">
        <f>'2010'!I2</f>
        <v>61</v>
      </c>
      <c r="M31" s="5">
        <f>'2010'!G2</f>
        <v>2</v>
      </c>
      <c r="N31" s="5">
        <f>'2010'!H2</f>
        <v>0</v>
      </c>
      <c r="O31" s="5">
        <v>0</v>
      </c>
      <c r="P31" s="5">
        <f>'2010'!L2</f>
        <v>176</v>
      </c>
    </row>
    <row r="32" spans="1:16">
      <c r="A32" s="6" t="s">
        <v>21</v>
      </c>
      <c r="C32" s="10">
        <f>SUM(C26:C31)</f>
        <v>111</v>
      </c>
      <c r="D32" s="10">
        <f t="shared" ref="D32:P32" si="4">SUM(D26:D31)</f>
        <v>36</v>
      </c>
      <c r="E32" s="10">
        <f t="shared" si="4"/>
        <v>10</v>
      </c>
      <c r="F32" s="10">
        <f t="shared" si="4"/>
        <v>1</v>
      </c>
      <c r="G32" s="10">
        <f t="shared" si="4"/>
        <v>1</v>
      </c>
      <c r="H32" s="10">
        <f t="shared" si="4"/>
        <v>37</v>
      </c>
      <c r="I32" s="10">
        <f t="shared" si="4"/>
        <v>30</v>
      </c>
      <c r="J32" s="10">
        <f t="shared" si="4"/>
        <v>54</v>
      </c>
      <c r="K32" s="10">
        <f t="shared" si="4"/>
        <v>0</v>
      </c>
      <c r="L32" s="10">
        <f t="shared" si="4"/>
        <v>291</v>
      </c>
      <c r="M32" s="10">
        <f t="shared" si="4"/>
        <v>6</v>
      </c>
      <c r="N32" s="10">
        <f t="shared" si="4"/>
        <v>0</v>
      </c>
      <c r="O32" s="10">
        <f t="shared" si="4"/>
        <v>0</v>
      </c>
      <c r="P32" s="10">
        <f t="shared" si="4"/>
        <v>779</v>
      </c>
    </row>
    <row r="33" spans="1:16">
      <c r="A33" s="6" t="s">
        <v>19</v>
      </c>
      <c r="C33" s="169">
        <f>C32/6</f>
        <v>18.5</v>
      </c>
      <c r="D33" s="169">
        <f t="shared" ref="D33:P33" si="5">D32/6</f>
        <v>6</v>
      </c>
      <c r="E33" s="169">
        <f t="shared" si="5"/>
        <v>1.6666666666666667</v>
      </c>
      <c r="F33" s="169">
        <f t="shared" si="5"/>
        <v>0.16666666666666666</v>
      </c>
      <c r="G33" s="169">
        <f t="shared" si="5"/>
        <v>0.16666666666666666</v>
      </c>
      <c r="H33" s="169">
        <f t="shared" si="5"/>
        <v>6.166666666666667</v>
      </c>
      <c r="I33" s="169">
        <f t="shared" si="5"/>
        <v>5</v>
      </c>
      <c r="J33" s="169">
        <f t="shared" si="5"/>
        <v>9</v>
      </c>
      <c r="K33" s="169">
        <f t="shared" si="5"/>
        <v>0</v>
      </c>
      <c r="L33" s="169">
        <f t="shared" si="5"/>
        <v>48.5</v>
      </c>
      <c r="M33" s="169">
        <f t="shared" si="5"/>
        <v>1</v>
      </c>
      <c r="N33" s="169">
        <f t="shared" si="5"/>
        <v>0</v>
      </c>
      <c r="O33" s="169">
        <f t="shared" si="5"/>
        <v>0</v>
      </c>
      <c r="P33" s="169">
        <f t="shared" si="5"/>
        <v>129.83333333333334</v>
      </c>
    </row>
    <row r="34" spans="1:16">
      <c r="A34" s="6"/>
      <c r="C34" s="169"/>
      <c r="D34" s="169"/>
      <c r="E34" s="169"/>
      <c r="F34" s="169"/>
      <c r="G34" s="169"/>
      <c r="H34" s="169"/>
      <c r="I34" s="169"/>
      <c r="J34" s="169"/>
      <c r="K34" s="169"/>
      <c r="L34" s="169"/>
      <c r="M34" s="169"/>
      <c r="N34" s="169"/>
      <c r="O34" s="169"/>
      <c r="P34" s="169"/>
    </row>
    <row r="35" spans="1:16">
      <c r="A35" s="6" t="s">
        <v>7132</v>
      </c>
      <c r="C35" s="169">
        <f>C32+C23</f>
        <v>475</v>
      </c>
      <c r="D35" s="169">
        <f t="shared" ref="D35:P35" si="6">D32+D23</f>
        <v>295</v>
      </c>
      <c r="E35" s="169">
        <f t="shared" si="6"/>
        <v>232</v>
      </c>
      <c r="F35" s="169">
        <f t="shared" si="6"/>
        <v>1</v>
      </c>
      <c r="G35" s="169">
        <f t="shared" si="6"/>
        <v>1</v>
      </c>
      <c r="H35" s="169">
        <f t="shared" si="6"/>
        <v>73</v>
      </c>
      <c r="I35" s="169">
        <f t="shared" si="6"/>
        <v>98</v>
      </c>
      <c r="J35" s="169">
        <f t="shared" si="6"/>
        <v>65</v>
      </c>
      <c r="K35" s="169">
        <f t="shared" si="6"/>
        <v>299</v>
      </c>
      <c r="L35" s="169">
        <f t="shared" si="6"/>
        <v>1143</v>
      </c>
      <c r="M35" s="169">
        <f t="shared" si="6"/>
        <v>7</v>
      </c>
      <c r="N35" s="169">
        <f t="shared" si="6"/>
        <v>0</v>
      </c>
      <c r="O35" s="169">
        <f t="shared" si="6"/>
        <v>0</v>
      </c>
      <c r="P35" s="169">
        <f t="shared" si="6"/>
        <v>876</v>
      </c>
    </row>
    <row r="36" spans="1:16">
      <c r="A36" s="6" t="s">
        <v>7133</v>
      </c>
      <c r="C36" s="169">
        <f>C35/22</f>
        <v>21.59090909090909</v>
      </c>
      <c r="D36" s="169">
        <f t="shared" ref="D36:P36" si="7">D35/22</f>
        <v>13.409090909090908</v>
      </c>
      <c r="E36" s="169">
        <f t="shared" si="7"/>
        <v>10.545454545454545</v>
      </c>
      <c r="F36" s="169">
        <f t="shared" si="7"/>
        <v>4.5454545454545456E-2</v>
      </c>
      <c r="G36" s="169">
        <f t="shared" si="7"/>
        <v>4.5454545454545456E-2</v>
      </c>
      <c r="H36" s="169">
        <f t="shared" si="7"/>
        <v>3.3181818181818183</v>
      </c>
      <c r="I36" s="169">
        <f t="shared" si="7"/>
        <v>4.4545454545454541</v>
      </c>
      <c r="J36" s="169">
        <f t="shared" si="7"/>
        <v>2.9545454545454546</v>
      </c>
      <c r="K36" s="169">
        <f t="shared" si="7"/>
        <v>13.590909090909092</v>
      </c>
      <c r="L36" s="169">
        <f t="shared" si="7"/>
        <v>51.954545454545453</v>
      </c>
      <c r="M36" s="169">
        <f t="shared" si="7"/>
        <v>0.31818181818181818</v>
      </c>
      <c r="N36" s="169">
        <f t="shared" si="7"/>
        <v>0</v>
      </c>
      <c r="O36" s="169">
        <f t="shared" si="7"/>
        <v>0</v>
      </c>
      <c r="P36" s="169">
        <f t="shared" si="7"/>
        <v>39.81818181818182</v>
      </c>
    </row>
    <row r="38" spans="1:16">
      <c r="A38" s="166" t="s">
        <v>7117</v>
      </c>
      <c r="B38" s="166" t="s">
        <v>7118</v>
      </c>
    </row>
    <row r="39" spans="1:16">
      <c r="A39" s="166" t="s">
        <v>7119</v>
      </c>
      <c r="B39" s="166" t="s">
        <v>7120</v>
      </c>
    </row>
    <row r="40" spans="1:16">
      <c r="A40" s="166" t="s">
        <v>7121</v>
      </c>
      <c r="B40" s="166" t="s">
        <v>7122</v>
      </c>
    </row>
    <row r="41" spans="1:16">
      <c r="A41" s="166" t="s">
        <v>7123</v>
      </c>
      <c r="B41" s="166" t="s">
        <v>7124</v>
      </c>
    </row>
    <row r="42" spans="1:16">
      <c r="A42" s="166" t="s">
        <v>7125</v>
      </c>
      <c r="B42" s="166" t="s">
        <v>7126</v>
      </c>
    </row>
    <row r="43" spans="1:16">
      <c r="A43" s="166" t="s">
        <v>7127</v>
      </c>
      <c r="B43" s="2" t="s">
        <v>7128</v>
      </c>
    </row>
    <row r="44" spans="1:16">
      <c r="A44" s="166" t="s">
        <v>7129</v>
      </c>
      <c r="B44" s="167" t="s">
        <v>7131</v>
      </c>
    </row>
  </sheetData>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zoomScale="85" zoomScaleNormal="85" zoomScalePageLayoutView="85" workbookViewId="0"/>
  </sheetViews>
  <sheetFormatPr baseColWidth="10" defaultColWidth="8.83203125" defaultRowHeight="14" x14ac:dyDescent="0"/>
  <cols>
    <col min="1" max="1" width="13.1640625" style="13" customWidth="1"/>
    <col min="2" max="2" width="33.33203125" style="13" customWidth="1"/>
    <col min="3" max="3" width="36.5" style="67" customWidth="1"/>
    <col min="4" max="4" width="17.83203125" style="59" customWidth="1"/>
    <col min="5" max="5" width="16.83203125" style="13" customWidth="1"/>
    <col min="6" max="6" width="17.6640625" style="13" customWidth="1"/>
    <col min="7" max="7" width="21.6640625" style="13" customWidth="1"/>
    <col min="8" max="8" width="24" style="13" customWidth="1"/>
    <col min="9" max="9" width="15.6640625" style="13" customWidth="1"/>
    <col min="10" max="10" width="14.1640625" style="13" customWidth="1"/>
    <col min="11" max="256" width="8.83203125" style="13"/>
    <col min="257" max="257" width="13.1640625" style="13" customWidth="1"/>
    <col min="258" max="258" width="33.33203125" style="13" customWidth="1"/>
    <col min="259" max="259" width="36.5" style="13" customWidth="1"/>
    <col min="260" max="260" width="17.83203125" style="13" customWidth="1"/>
    <col min="261" max="261" width="16.83203125" style="13" customWidth="1"/>
    <col min="262" max="262" width="17.6640625" style="13" customWidth="1"/>
    <col min="263" max="263" width="21.6640625" style="13" customWidth="1"/>
    <col min="264" max="264" width="24" style="13" customWidth="1"/>
    <col min="265" max="265" width="15.6640625" style="13" customWidth="1"/>
    <col min="266" max="266" width="14.1640625" style="13" customWidth="1"/>
    <col min="267" max="512" width="8.83203125" style="13"/>
    <col min="513" max="513" width="13.1640625" style="13" customWidth="1"/>
    <col min="514" max="514" width="33.33203125" style="13" customWidth="1"/>
    <col min="515" max="515" width="36.5" style="13" customWidth="1"/>
    <col min="516" max="516" width="17.83203125" style="13" customWidth="1"/>
    <col min="517" max="517" width="16.83203125" style="13" customWidth="1"/>
    <col min="518" max="518" width="17.6640625" style="13" customWidth="1"/>
    <col min="519" max="519" width="21.6640625" style="13" customWidth="1"/>
    <col min="520" max="520" width="24" style="13" customWidth="1"/>
    <col min="521" max="521" width="15.6640625" style="13" customWidth="1"/>
    <col min="522" max="522" width="14.1640625" style="13" customWidth="1"/>
    <col min="523" max="768" width="8.83203125" style="13"/>
    <col min="769" max="769" width="13.1640625" style="13" customWidth="1"/>
    <col min="770" max="770" width="33.33203125" style="13" customWidth="1"/>
    <col min="771" max="771" width="36.5" style="13" customWidth="1"/>
    <col min="772" max="772" width="17.83203125" style="13" customWidth="1"/>
    <col min="773" max="773" width="16.83203125" style="13" customWidth="1"/>
    <col min="774" max="774" width="17.6640625" style="13" customWidth="1"/>
    <col min="775" max="775" width="21.6640625" style="13" customWidth="1"/>
    <col min="776" max="776" width="24" style="13" customWidth="1"/>
    <col min="777" max="777" width="15.6640625" style="13" customWidth="1"/>
    <col min="778" max="778" width="14.1640625" style="13" customWidth="1"/>
    <col min="779" max="1024" width="8.83203125" style="13"/>
    <col min="1025" max="1025" width="13.1640625" style="13" customWidth="1"/>
    <col min="1026" max="1026" width="33.33203125" style="13" customWidth="1"/>
    <col min="1027" max="1027" width="36.5" style="13" customWidth="1"/>
    <col min="1028" max="1028" width="17.83203125" style="13" customWidth="1"/>
    <col min="1029" max="1029" width="16.83203125" style="13" customWidth="1"/>
    <col min="1030" max="1030" width="17.6640625" style="13" customWidth="1"/>
    <col min="1031" max="1031" width="21.6640625" style="13" customWidth="1"/>
    <col min="1032" max="1032" width="24" style="13" customWidth="1"/>
    <col min="1033" max="1033" width="15.6640625" style="13" customWidth="1"/>
    <col min="1034" max="1034" width="14.1640625" style="13" customWidth="1"/>
    <col min="1035" max="1280" width="8.83203125" style="13"/>
    <col min="1281" max="1281" width="13.1640625" style="13" customWidth="1"/>
    <col min="1282" max="1282" width="33.33203125" style="13" customWidth="1"/>
    <col min="1283" max="1283" width="36.5" style="13" customWidth="1"/>
    <col min="1284" max="1284" width="17.83203125" style="13" customWidth="1"/>
    <col min="1285" max="1285" width="16.83203125" style="13" customWidth="1"/>
    <col min="1286" max="1286" width="17.6640625" style="13" customWidth="1"/>
    <col min="1287" max="1287" width="21.6640625" style="13" customWidth="1"/>
    <col min="1288" max="1288" width="24" style="13" customWidth="1"/>
    <col min="1289" max="1289" width="15.6640625" style="13" customWidth="1"/>
    <col min="1290" max="1290" width="14.1640625" style="13" customWidth="1"/>
    <col min="1291" max="1536" width="8.83203125" style="13"/>
    <col min="1537" max="1537" width="13.1640625" style="13" customWidth="1"/>
    <col min="1538" max="1538" width="33.33203125" style="13" customWidth="1"/>
    <col min="1539" max="1539" width="36.5" style="13" customWidth="1"/>
    <col min="1540" max="1540" width="17.83203125" style="13" customWidth="1"/>
    <col min="1541" max="1541" width="16.83203125" style="13" customWidth="1"/>
    <col min="1542" max="1542" width="17.6640625" style="13" customWidth="1"/>
    <col min="1543" max="1543" width="21.6640625" style="13" customWidth="1"/>
    <col min="1544" max="1544" width="24" style="13" customWidth="1"/>
    <col min="1545" max="1545" width="15.6640625" style="13" customWidth="1"/>
    <col min="1546" max="1546" width="14.1640625" style="13" customWidth="1"/>
    <col min="1547" max="1792" width="8.83203125" style="13"/>
    <col min="1793" max="1793" width="13.1640625" style="13" customWidth="1"/>
    <col min="1794" max="1794" width="33.33203125" style="13" customWidth="1"/>
    <col min="1795" max="1795" width="36.5" style="13" customWidth="1"/>
    <col min="1796" max="1796" width="17.83203125" style="13" customWidth="1"/>
    <col min="1797" max="1797" width="16.83203125" style="13" customWidth="1"/>
    <col min="1798" max="1798" width="17.6640625" style="13" customWidth="1"/>
    <col min="1799" max="1799" width="21.6640625" style="13" customWidth="1"/>
    <col min="1800" max="1800" width="24" style="13" customWidth="1"/>
    <col min="1801" max="1801" width="15.6640625" style="13" customWidth="1"/>
    <col min="1802" max="1802" width="14.1640625" style="13" customWidth="1"/>
    <col min="1803" max="2048" width="8.83203125" style="13"/>
    <col min="2049" max="2049" width="13.1640625" style="13" customWidth="1"/>
    <col min="2050" max="2050" width="33.33203125" style="13" customWidth="1"/>
    <col min="2051" max="2051" width="36.5" style="13" customWidth="1"/>
    <col min="2052" max="2052" width="17.83203125" style="13" customWidth="1"/>
    <col min="2053" max="2053" width="16.83203125" style="13" customWidth="1"/>
    <col min="2054" max="2054" width="17.6640625" style="13" customWidth="1"/>
    <col min="2055" max="2055" width="21.6640625" style="13" customWidth="1"/>
    <col min="2056" max="2056" width="24" style="13" customWidth="1"/>
    <col min="2057" max="2057" width="15.6640625" style="13" customWidth="1"/>
    <col min="2058" max="2058" width="14.1640625" style="13" customWidth="1"/>
    <col min="2059" max="2304" width="8.83203125" style="13"/>
    <col min="2305" max="2305" width="13.1640625" style="13" customWidth="1"/>
    <col min="2306" max="2306" width="33.33203125" style="13" customWidth="1"/>
    <col min="2307" max="2307" width="36.5" style="13" customWidth="1"/>
    <col min="2308" max="2308" width="17.83203125" style="13" customWidth="1"/>
    <col min="2309" max="2309" width="16.83203125" style="13" customWidth="1"/>
    <col min="2310" max="2310" width="17.6640625" style="13" customWidth="1"/>
    <col min="2311" max="2311" width="21.6640625" style="13" customWidth="1"/>
    <col min="2312" max="2312" width="24" style="13" customWidth="1"/>
    <col min="2313" max="2313" width="15.6640625" style="13" customWidth="1"/>
    <col min="2314" max="2314" width="14.1640625" style="13" customWidth="1"/>
    <col min="2315" max="2560" width="8.83203125" style="13"/>
    <col min="2561" max="2561" width="13.1640625" style="13" customWidth="1"/>
    <col min="2562" max="2562" width="33.33203125" style="13" customWidth="1"/>
    <col min="2563" max="2563" width="36.5" style="13" customWidth="1"/>
    <col min="2564" max="2564" width="17.83203125" style="13" customWidth="1"/>
    <col min="2565" max="2565" width="16.83203125" style="13" customWidth="1"/>
    <col min="2566" max="2566" width="17.6640625" style="13" customWidth="1"/>
    <col min="2567" max="2567" width="21.6640625" style="13" customWidth="1"/>
    <col min="2568" max="2568" width="24" style="13" customWidth="1"/>
    <col min="2569" max="2569" width="15.6640625" style="13" customWidth="1"/>
    <col min="2570" max="2570" width="14.1640625" style="13" customWidth="1"/>
    <col min="2571" max="2816" width="8.83203125" style="13"/>
    <col min="2817" max="2817" width="13.1640625" style="13" customWidth="1"/>
    <col min="2818" max="2818" width="33.33203125" style="13" customWidth="1"/>
    <col min="2819" max="2819" width="36.5" style="13" customWidth="1"/>
    <col min="2820" max="2820" width="17.83203125" style="13" customWidth="1"/>
    <col min="2821" max="2821" width="16.83203125" style="13" customWidth="1"/>
    <col min="2822" max="2822" width="17.6640625" style="13" customWidth="1"/>
    <col min="2823" max="2823" width="21.6640625" style="13" customWidth="1"/>
    <col min="2824" max="2824" width="24" style="13" customWidth="1"/>
    <col min="2825" max="2825" width="15.6640625" style="13" customWidth="1"/>
    <col min="2826" max="2826" width="14.1640625" style="13" customWidth="1"/>
    <col min="2827" max="3072" width="8.83203125" style="13"/>
    <col min="3073" max="3073" width="13.1640625" style="13" customWidth="1"/>
    <col min="3074" max="3074" width="33.33203125" style="13" customWidth="1"/>
    <col min="3075" max="3075" width="36.5" style="13" customWidth="1"/>
    <col min="3076" max="3076" width="17.83203125" style="13" customWidth="1"/>
    <col min="3077" max="3077" width="16.83203125" style="13" customWidth="1"/>
    <col min="3078" max="3078" width="17.6640625" style="13" customWidth="1"/>
    <col min="3079" max="3079" width="21.6640625" style="13" customWidth="1"/>
    <col min="3080" max="3080" width="24" style="13" customWidth="1"/>
    <col min="3081" max="3081" width="15.6640625" style="13" customWidth="1"/>
    <col min="3082" max="3082" width="14.1640625" style="13" customWidth="1"/>
    <col min="3083" max="3328" width="8.83203125" style="13"/>
    <col min="3329" max="3329" width="13.1640625" style="13" customWidth="1"/>
    <col min="3330" max="3330" width="33.33203125" style="13" customWidth="1"/>
    <col min="3331" max="3331" width="36.5" style="13" customWidth="1"/>
    <col min="3332" max="3332" width="17.83203125" style="13" customWidth="1"/>
    <col min="3333" max="3333" width="16.83203125" style="13" customWidth="1"/>
    <col min="3334" max="3334" width="17.6640625" style="13" customWidth="1"/>
    <col min="3335" max="3335" width="21.6640625" style="13" customWidth="1"/>
    <col min="3336" max="3336" width="24" style="13" customWidth="1"/>
    <col min="3337" max="3337" width="15.6640625" style="13" customWidth="1"/>
    <col min="3338" max="3338" width="14.1640625" style="13" customWidth="1"/>
    <col min="3339" max="3584" width="8.83203125" style="13"/>
    <col min="3585" max="3585" width="13.1640625" style="13" customWidth="1"/>
    <col min="3586" max="3586" width="33.33203125" style="13" customWidth="1"/>
    <col min="3587" max="3587" width="36.5" style="13" customWidth="1"/>
    <col min="3588" max="3588" width="17.83203125" style="13" customWidth="1"/>
    <col min="3589" max="3589" width="16.83203125" style="13" customWidth="1"/>
    <col min="3590" max="3590" width="17.6640625" style="13" customWidth="1"/>
    <col min="3591" max="3591" width="21.6640625" style="13" customWidth="1"/>
    <col min="3592" max="3592" width="24" style="13" customWidth="1"/>
    <col min="3593" max="3593" width="15.6640625" style="13" customWidth="1"/>
    <col min="3594" max="3594" width="14.1640625" style="13" customWidth="1"/>
    <col min="3595" max="3840" width="8.83203125" style="13"/>
    <col min="3841" max="3841" width="13.1640625" style="13" customWidth="1"/>
    <col min="3842" max="3842" width="33.33203125" style="13" customWidth="1"/>
    <col min="3843" max="3843" width="36.5" style="13" customWidth="1"/>
    <col min="3844" max="3844" width="17.83203125" style="13" customWidth="1"/>
    <col min="3845" max="3845" width="16.83203125" style="13" customWidth="1"/>
    <col min="3846" max="3846" width="17.6640625" style="13" customWidth="1"/>
    <col min="3847" max="3847" width="21.6640625" style="13" customWidth="1"/>
    <col min="3848" max="3848" width="24" style="13" customWidth="1"/>
    <col min="3849" max="3849" width="15.6640625" style="13" customWidth="1"/>
    <col min="3850" max="3850" width="14.1640625" style="13" customWidth="1"/>
    <col min="3851" max="4096" width="8.83203125" style="13"/>
    <col min="4097" max="4097" width="13.1640625" style="13" customWidth="1"/>
    <col min="4098" max="4098" width="33.33203125" style="13" customWidth="1"/>
    <col min="4099" max="4099" width="36.5" style="13" customWidth="1"/>
    <col min="4100" max="4100" width="17.83203125" style="13" customWidth="1"/>
    <col min="4101" max="4101" width="16.83203125" style="13" customWidth="1"/>
    <col min="4102" max="4102" width="17.6640625" style="13" customWidth="1"/>
    <col min="4103" max="4103" width="21.6640625" style="13" customWidth="1"/>
    <col min="4104" max="4104" width="24" style="13" customWidth="1"/>
    <col min="4105" max="4105" width="15.6640625" style="13" customWidth="1"/>
    <col min="4106" max="4106" width="14.1640625" style="13" customWidth="1"/>
    <col min="4107" max="4352" width="8.83203125" style="13"/>
    <col min="4353" max="4353" width="13.1640625" style="13" customWidth="1"/>
    <col min="4354" max="4354" width="33.33203125" style="13" customWidth="1"/>
    <col min="4355" max="4355" width="36.5" style="13" customWidth="1"/>
    <col min="4356" max="4356" width="17.83203125" style="13" customWidth="1"/>
    <col min="4357" max="4357" width="16.83203125" style="13" customWidth="1"/>
    <col min="4358" max="4358" width="17.6640625" style="13" customWidth="1"/>
    <col min="4359" max="4359" width="21.6640625" style="13" customWidth="1"/>
    <col min="4360" max="4360" width="24" style="13" customWidth="1"/>
    <col min="4361" max="4361" width="15.6640625" style="13" customWidth="1"/>
    <col min="4362" max="4362" width="14.1640625" style="13" customWidth="1"/>
    <col min="4363" max="4608" width="8.83203125" style="13"/>
    <col min="4609" max="4609" width="13.1640625" style="13" customWidth="1"/>
    <col min="4610" max="4610" width="33.33203125" style="13" customWidth="1"/>
    <col min="4611" max="4611" width="36.5" style="13" customWidth="1"/>
    <col min="4612" max="4612" width="17.83203125" style="13" customWidth="1"/>
    <col min="4613" max="4613" width="16.83203125" style="13" customWidth="1"/>
    <col min="4614" max="4614" width="17.6640625" style="13" customWidth="1"/>
    <col min="4615" max="4615" width="21.6640625" style="13" customWidth="1"/>
    <col min="4616" max="4616" width="24" style="13" customWidth="1"/>
    <col min="4617" max="4617" width="15.6640625" style="13" customWidth="1"/>
    <col min="4618" max="4618" width="14.1640625" style="13" customWidth="1"/>
    <col min="4619" max="4864" width="8.83203125" style="13"/>
    <col min="4865" max="4865" width="13.1640625" style="13" customWidth="1"/>
    <col min="4866" max="4866" width="33.33203125" style="13" customWidth="1"/>
    <col min="4867" max="4867" width="36.5" style="13" customWidth="1"/>
    <col min="4868" max="4868" width="17.83203125" style="13" customWidth="1"/>
    <col min="4869" max="4869" width="16.83203125" style="13" customWidth="1"/>
    <col min="4870" max="4870" width="17.6640625" style="13" customWidth="1"/>
    <col min="4871" max="4871" width="21.6640625" style="13" customWidth="1"/>
    <col min="4872" max="4872" width="24" style="13" customWidth="1"/>
    <col min="4873" max="4873" width="15.6640625" style="13" customWidth="1"/>
    <col min="4874" max="4874" width="14.1640625" style="13" customWidth="1"/>
    <col min="4875" max="5120" width="8.83203125" style="13"/>
    <col min="5121" max="5121" width="13.1640625" style="13" customWidth="1"/>
    <col min="5122" max="5122" width="33.33203125" style="13" customWidth="1"/>
    <col min="5123" max="5123" width="36.5" style="13" customWidth="1"/>
    <col min="5124" max="5124" width="17.83203125" style="13" customWidth="1"/>
    <col min="5125" max="5125" width="16.83203125" style="13" customWidth="1"/>
    <col min="5126" max="5126" width="17.6640625" style="13" customWidth="1"/>
    <col min="5127" max="5127" width="21.6640625" style="13" customWidth="1"/>
    <col min="5128" max="5128" width="24" style="13" customWidth="1"/>
    <col min="5129" max="5129" width="15.6640625" style="13" customWidth="1"/>
    <col min="5130" max="5130" width="14.1640625" style="13" customWidth="1"/>
    <col min="5131" max="5376" width="8.83203125" style="13"/>
    <col min="5377" max="5377" width="13.1640625" style="13" customWidth="1"/>
    <col min="5378" max="5378" width="33.33203125" style="13" customWidth="1"/>
    <col min="5379" max="5379" width="36.5" style="13" customWidth="1"/>
    <col min="5380" max="5380" width="17.83203125" style="13" customWidth="1"/>
    <col min="5381" max="5381" width="16.83203125" style="13" customWidth="1"/>
    <col min="5382" max="5382" width="17.6640625" style="13" customWidth="1"/>
    <col min="5383" max="5383" width="21.6640625" style="13" customWidth="1"/>
    <col min="5384" max="5384" width="24" style="13" customWidth="1"/>
    <col min="5385" max="5385" width="15.6640625" style="13" customWidth="1"/>
    <col min="5386" max="5386" width="14.1640625" style="13" customWidth="1"/>
    <col min="5387" max="5632" width="8.83203125" style="13"/>
    <col min="5633" max="5633" width="13.1640625" style="13" customWidth="1"/>
    <col min="5634" max="5634" width="33.33203125" style="13" customWidth="1"/>
    <col min="5635" max="5635" width="36.5" style="13" customWidth="1"/>
    <col min="5636" max="5636" width="17.83203125" style="13" customWidth="1"/>
    <col min="5637" max="5637" width="16.83203125" style="13" customWidth="1"/>
    <col min="5638" max="5638" width="17.6640625" style="13" customWidth="1"/>
    <col min="5639" max="5639" width="21.6640625" style="13" customWidth="1"/>
    <col min="5640" max="5640" width="24" style="13" customWidth="1"/>
    <col min="5641" max="5641" width="15.6640625" style="13" customWidth="1"/>
    <col min="5642" max="5642" width="14.1640625" style="13" customWidth="1"/>
    <col min="5643" max="5888" width="8.83203125" style="13"/>
    <col min="5889" max="5889" width="13.1640625" style="13" customWidth="1"/>
    <col min="5890" max="5890" width="33.33203125" style="13" customWidth="1"/>
    <col min="5891" max="5891" width="36.5" style="13" customWidth="1"/>
    <col min="5892" max="5892" width="17.83203125" style="13" customWidth="1"/>
    <col min="5893" max="5893" width="16.83203125" style="13" customWidth="1"/>
    <col min="5894" max="5894" width="17.6640625" style="13" customWidth="1"/>
    <col min="5895" max="5895" width="21.6640625" style="13" customWidth="1"/>
    <col min="5896" max="5896" width="24" style="13" customWidth="1"/>
    <col min="5897" max="5897" width="15.6640625" style="13" customWidth="1"/>
    <col min="5898" max="5898" width="14.1640625" style="13" customWidth="1"/>
    <col min="5899" max="6144" width="8.83203125" style="13"/>
    <col min="6145" max="6145" width="13.1640625" style="13" customWidth="1"/>
    <col min="6146" max="6146" width="33.33203125" style="13" customWidth="1"/>
    <col min="6147" max="6147" width="36.5" style="13" customWidth="1"/>
    <col min="6148" max="6148" width="17.83203125" style="13" customWidth="1"/>
    <col min="6149" max="6149" width="16.83203125" style="13" customWidth="1"/>
    <col min="6150" max="6150" width="17.6640625" style="13" customWidth="1"/>
    <col min="6151" max="6151" width="21.6640625" style="13" customWidth="1"/>
    <col min="6152" max="6152" width="24" style="13" customWidth="1"/>
    <col min="6153" max="6153" width="15.6640625" style="13" customWidth="1"/>
    <col min="6154" max="6154" width="14.1640625" style="13" customWidth="1"/>
    <col min="6155" max="6400" width="8.83203125" style="13"/>
    <col min="6401" max="6401" width="13.1640625" style="13" customWidth="1"/>
    <col min="6402" max="6402" width="33.33203125" style="13" customWidth="1"/>
    <col min="6403" max="6403" width="36.5" style="13" customWidth="1"/>
    <col min="6404" max="6404" width="17.83203125" style="13" customWidth="1"/>
    <col min="6405" max="6405" width="16.83203125" style="13" customWidth="1"/>
    <col min="6406" max="6406" width="17.6640625" style="13" customWidth="1"/>
    <col min="6407" max="6407" width="21.6640625" style="13" customWidth="1"/>
    <col min="6408" max="6408" width="24" style="13" customWidth="1"/>
    <col min="6409" max="6409" width="15.6640625" style="13" customWidth="1"/>
    <col min="6410" max="6410" width="14.1640625" style="13" customWidth="1"/>
    <col min="6411" max="6656" width="8.83203125" style="13"/>
    <col min="6657" max="6657" width="13.1640625" style="13" customWidth="1"/>
    <col min="6658" max="6658" width="33.33203125" style="13" customWidth="1"/>
    <col min="6659" max="6659" width="36.5" style="13" customWidth="1"/>
    <col min="6660" max="6660" width="17.83203125" style="13" customWidth="1"/>
    <col min="6661" max="6661" width="16.83203125" style="13" customWidth="1"/>
    <col min="6662" max="6662" width="17.6640625" style="13" customWidth="1"/>
    <col min="6663" max="6663" width="21.6640625" style="13" customWidth="1"/>
    <col min="6664" max="6664" width="24" style="13" customWidth="1"/>
    <col min="6665" max="6665" width="15.6640625" style="13" customWidth="1"/>
    <col min="6666" max="6666" width="14.1640625" style="13" customWidth="1"/>
    <col min="6667" max="6912" width="8.83203125" style="13"/>
    <col min="6913" max="6913" width="13.1640625" style="13" customWidth="1"/>
    <col min="6914" max="6914" width="33.33203125" style="13" customWidth="1"/>
    <col min="6915" max="6915" width="36.5" style="13" customWidth="1"/>
    <col min="6916" max="6916" width="17.83203125" style="13" customWidth="1"/>
    <col min="6917" max="6917" width="16.83203125" style="13" customWidth="1"/>
    <col min="6918" max="6918" width="17.6640625" style="13" customWidth="1"/>
    <col min="6919" max="6919" width="21.6640625" style="13" customWidth="1"/>
    <col min="6920" max="6920" width="24" style="13" customWidth="1"/>
    <col min="6921" max="6921" width="15.6640625" style="13" customWidth="1"/>
    <col min="6922" max="6922" width="14.1640625" style="13" customWidth="1"/>
    <col min="6923" max="7168" width="8.83203125" style="13"/>
    <col min="7169" max="7169" width="13.1640625" style="13" customWidth="1"/>
    <col min="7170" max="7170" width="33.33203125" style="13" customWidth="1"/>
    <col min="7171" max="7171" width="36.5" style="13" customWidth="1"/>
    <col min="7172" max="7172" width="17.83203125" style="13" customWidth="1"/>
    <col min="7173" max="7173" width="16.83203125" style="13" customWidth="1"/>
    <col min="7174" max="7174" width="17.6640625" style="13" customWidth="1"/>
    <col min="7175" max="7175" width="21.6640625" style="13" customWidth="1"/>
    <col min="7176" max="7176" width="24" style="13" customWidth="1"/>
    <col min="7177" max="7177" width="15.6640625" style="13" customWidth="1"/>
    <col min="7178" max="7178" width="14.1640625" style="13" customWidth="1"/>
    <col min="7179" max="7424" width="8.83203125" style="13"/>
    <col min="7425" max="7425" width="13.1640625" style="13" customWidth="1"/>
    <col min="7426" max="7426" width="33.33203125" style="13" customWidth="1"/>
    <col min="7427" max="7427" width="36.5" style="13" customWidth="1"/>
    <col min="7428" max="7428" width="17.83203125" style="13" customWidth="1"/>
    <col min="7429" max="7429" width="16.83203125" style="13" customWidth="1"/>
    <col min="7430" max="7430" width="17.6640625" style="13" customWidth="1"/>
    <col min="7431" max="7431" width="21.6640625" style="13" customWidth="1"/>
    <col min="7432" max="7432" width="24" style="13" customWidth="1"/>
    <col min="7433" max="7433" width="15.6640625" style="13" customWidth="1"/>
    <col min="7434" max="7434" width="14.1640625" style="13" customWidth="1"/>
    <col min="7435" max="7680" width="8.83203125" style="13"/>
    <col min="7681" max="7681" width="13.1640625" style="13" customWidth="1"/>
    <col min="7682" max="7682" width="33.33203125" style="13" customWidth="1"/>
    <col min="7683" max="7683" width="36.5" style="13" customWidth="1"/>
    <col min="7684" max="7684" width="17.83203125" style="13" customWidth="1"/>
    <col min="7685" max="7685" width="16.83203125" style="13" customWidth="1"/>
    <col min="7686" max="7686" width="17.6640625" style="13" customWidth="1"/>
    <col min="7687" max="7687" width="21.6640625" style="13" customWidth="1"/>
    <col min="7688" max="7688" width="24" style="13" customWidth="1"/>
    <col min="7689" max="7689" width="15.6640625" style="13" customWidth="1"/>
    <col min="7690" max="7690" width="14.1640625" style="13" customWidth="1"/>
    <col min="7691" max="7936" width="8.83203125" style="13"/>
    <col min="7937" max="7937" width="13.1640625" style="13" customWidth="1"/>
    <col min="7938" max="7938" width="33.33203125" style="13" customWidth="1"/>
    <col min="7939" max="7939" width="36.5" style="13" customWidth="1"/>
    <col min="7940" max="7940" width="17.83203125" style="13" customWidth="1"/>
    <col min="7941" max="7941" width="16.83203125" style="13" customWidth="1"/>
    <col min="7942" max="7942" width="17.6640625" style="13" customWidth="1"/>
    <col min="7943" max="7943" width="21.6640625" style="13" customWidth="1"/>
    <col min="7944" max="7944" width="24" style="13" customWidth="1"/>
    <col min="7945" max="7945" width="15.6640625" style="13" customWidth="1"/>
    <col min="7946" max="7946" width="14.1640625" style="13" customWidth="1"/>
    <col min="7947" max="8192" width="8.83203125" style="13"/>
    <col min="8193" max="8193" width="13.1640625" style="13" customWidth="1"/>
    <col min="8194" max="8194" width="33.33203125" style="13" customWidth="1"/>
    <col min="8195" max="8195" width="36.5" style="13" customWidth="1"/>
    <col min="8196" max="8196" width="17.83203125" style="13" customWidth="1"/>
    <col min="8197" max="8197" width="16.83203125" style="13" customWidth="1"/>
    <col min="8198" max="8198" width="17.6640625" style="13" customWidth="1"/>
    <col min="8199" max="8199" width="21.6640625" style="13" customWidth="1"/>
    <col min="8200" max="8200" width="24" style="13" customWidth="1"/>
    <col min="8201" max="8201" width="15.6640625" style="13" customWidth="1"/>
    <col min="8202" max="8202" width="14.1640625" style="13" customWidth="1"/>
    <col min="8203" max="8448" width="8.83203125" style="13"/>
    <col min="8449" max="8449" width="13.1640625" style="13" customWidth="1"/>
    <col min="8450" max="8450" width="33.33203125" style="13" customWidth="1"/>
    <col min="8451" max="8451" width="36.5" style="13" customWidth="1"/>
    <col min="8452" max="8452" width="17.83203125" style="13" customWidth="1"/>
    <col min="8453" max="8453" width="16.83203125" style="13" customWidth="1"/>
    <col min="8454" max="8454" width="17.6640625" style="13" customWidth="1"/>
    <col min="8455" max="8455" width="21.6640625" style="13" customWidth="1"/>
    <col min="8456" max="8456" width="24" style="13" customWidth="1"/>
    <col min="8457" max="8457" width="15.6640625" style="13" customWidth="1"/>
    <col min="8458" max="8458" width="14.1640625" style="13" customWidth="1"/>
    <col min="8459" max="8704" width="8.83203125" style="13"/>
    <col min="8705" max="8705" width="13.1640625" style="13" customWidth="1"/>
    <col min="8706" max="8706" width="33.33203125" style="13" customWidth="1"/>
    <col min="8707" max="8707" width="36.5" style="13" customWidth="1"/>
    <col min="8708" max="8708" width="17.83203125" style="13" customWidth="1"/>
    <col min="8709" max="8709" width="16.83203125" style="13" customWidth="1"/>
    <col min="8710" max="8710" width="17.6640625" style="13" customWidth="1"/>
    <col min="8711" max="8711" width="21.6640625" style="13" customWidth="1"/>
    <col min="8712" max="8712" width="24" style="13" customWidth="1"/>
    <col min="8713" max="8713" width="15.6640625" style="13" customWidth="1"/>
    <col min="8714" max="8714" width="14.1640625" style="13" customWidth="1"/>
    <col min="8715" max="8960" width="8.83203125" style="13"/>
    <col min="8961" max="8961" width="13.1640625" style="13" customWidth="1"/>
    <col min="8962" max="8962" width="33.33203125" style="13" customWidth="1"/>
    <col min="8963" max="8963" width="36.5" style="13" customWidth="1"/>
    <col min="8964" max="8964" width="17.83203125" style="13" customWidth="1"/>
    <col min="8965" max="8965" width="16.83203125" style="13" customWidth="1"/>
    <col min="8966" max="8966" width="17.6640625" style="13" customWidth="1"/>
    <col min="8967" max="8967" width="21.6640625" style="13" customWidth="1"/>
    <col min="8968" max="8968" width="24" style="13" customWidth="1"/>
    <col min="8969" max="8969" width="15.6640625" style="13" customWidth="1"/>
    <col min="8970" max="8970" width="14.1640625" style="13" customWidth="1"/>
    <col min="8971" max="9216" width="8.83203125" style="13"/>
    <col min="9217" max="9217" width="13.1640625" style="13" customWidth="1"/>
    <col min="9218" max="9218" width="33.33203125" style="13" customWidth="1"/>
    <col min="9219" max="9219" width="36.5" style="13" customWidth="1"/>
    <col min="9220" max="9220" width="17.83203125" style="13" customWidth="1"/>
    <col min="9221" max="9221" width="16.83203125" style="13" customWidth="1"/>
    <col min="9222" max="9222" width="17.6640625" style="13" customWidth="1"/>
    <col min="9223" max="9223" width="21.6640625" style="13" customWidth="1"/>
    <col min="9224" max="9224" width="24" style="13" customWidth="1"/>
    <col min="9225" max="9225" width="15.6640625" style="13" customWidth="1"/>
    <col min="9226" max="9226" width="14.1640625" style="13" customWidth="1"/>
    <col min="9227" max="9472" width="8.83203125" style="13"/>
    <col min="9473" max="9473" width="13.1640625" style="13" customWidth="1"/>
    <col min="9474" max="9474" width="33.33203125" style="13" customWidth="1"/>
    <col min="9475" max="9475" width="36.5" style="13" customWidth="1"/>
    <col min="9476" max="9476" width="17.83203125" style="13" customWidth="1"/>
    <col min="9477" max="9477" width="16.83203125" style="13" customWidth="1"/>
    <col min="9478" max="9478" width="17.6640625" style="13" customWidth="1"/>
    <col min="9479" max="9479" width="21.6640625" style="13" customWidth="1"/>
    <col min="9480" max="9480" width="24" style="13" customWidth="1"/>
    <col min="9481" max="9481" width="15.6640625" style="13" customWidth="1"/>
    <col min="9482" max="9482" width="14.1640625" style="13" customWidth="1"/>
    <col min="9483" max="9728" width="8.83203125" style="13"/>
    <col min="9729" max="9729" width="13.1640625" style="13" customWidth="1"/>
    <col min="9730" max="9730" width="33.33203125" style="13" customWidth="1"/>
    <col min="9731" max="9731" width="36.5" style="13" customWidth="1"/>
    <col min="9732" max="9732" width="17.83203125" style="13" customWidth="1"/>
    <col min="9733" max="9733" width="16.83203125" style="13" customWidth="1"/>
    <col min="9734" max="9734" width="17.6640625" style="13" customWidth="1"/>
    <col min="9735" max="9735" width="21.6640625" style="13" customWidth="1"/>
    <col min="9736" max="9736" width="24" style="13" customWidth="1"/>
    <col min="9737" max="9737" width="15.6640625" style="13" customWidth="1"/>
    <col min="9738" max="9738" width="14.1640625" style="13" customWidth="1"/>
    <col min="9739" max="9984" width="8.83203125" style="13"/>
    <col min="9985" max="9985" width="13.1640625" style="13" customWidth="1"/>
    <col min="9986" max="9986" width="33.33203125" style="13" customWidth="1"/>
    <col min="9987" max="9987" width="36.5" style="13" customWidth="1"/>
    <col min="9988" max="9988" width="17.83203125" style="13" customWidth="1"/>
    <col min="9989" max="9989" width="16.83203125" style="13" customWidth="1"/>
    <col min="9990" max="9990" width="17.6640625" style="13" customWidth="1"/>
    <col min="9991" max="9991" width="21.6640625" style="13" customWidth="1"/>
    <col min="9992" max="9992" width="24" style="13" customWidth="1"/>
    <col min="9993" max="9993" width="15.6640625" style="13" customWidth="1"/>
    <col min="9994" max="9994" width="14.1640625" style="13" customWidth="1"/>
    <col min="9995" max="10240" width="8.83203125" style="13"/>
    <col min="10241" max="10241" width="13.1640625" style="13" customWidth="1"/>
    <col min="10242" max="10242" width="33.33203125" style="13" customWidth="1"/>
    <col min="10243" max="10243" width="36.5" style="13" customWidth="1"/>
    <col min="10244" max="10244" width="17.83203125" style="13" customWidth="1"/>
    <col min="10245" max="10245" width="16.83203125" style="13" customWidth="1"/>
    <col min="10246" max="10246" width="17.6640625" style="13" customWidth="1"/>
    <col min="10247" max="10247" width="21.6640625" style="13" customWidth="1"/>
    <col min="10248" max="10248" width="24" style="13" customWidth="1"/>
    <col min="10249" max="10249" width="15.6640625" style="13" customWidth="1"/>
    <col min="10250" max="10250" width="14.1640625" style="13" customWidth="1"/>
    <col min="10251" max="10496" width="8.83203125" style="13"/>
    <col min="10497" max="10497" width="13.1640625" style="13" customWidth="1"/>
    <col min="10498" max="10498" width="33.33203125" style="13" customWidth="1"/>
    <col min="10499" max="10499" width="36.5" style="13" customWidth="1"/>
    <col min="10500" max="10500" width="17.83203125" style="13" customWidth="1"/>
    <col min="10501" max="10501" width="16.83203125" style="13" customWidth="1"/>
    <col min="10502" max="10502" width="17.6640625" style="13" customWidth="1"/>
    <col min="10503" max="10503" width="21.6640625" style="13" customWidth="1"/>
    <col min="10504" max="10504" width="24" style="13" customWidth="1"/>
    <col min="10505" max="10505" width="15.6640625" style="13" customWidth="1"/>
    <col min="10506" max="10506" width="14.1640625" style="13" customWidth="1"/>
    <col min="10507" max="10752" width="8.83203125" style="13"/>
    <col min="10753" max="10753" width="13.1640625" style="13" customWidth="1"/>
    <col min="10754" max="10754" width="33.33203125" style="13" customWidth="1"/>
    <col min="10755" max="10755" width="36.5" style="13" customWidth="1"/>
    <col min="10756" max="10756" width="17.83203125" style="13" customWidth="1"/>
    <col min="10757" max="10757" width="16.83203125" style="13" customWidth="1"/>
    <col min="10758" max="10758" width="17.6640625" style="13" customWidth="1"/>
    <col min="10759" max="10759" width="21.6640625" style="13" customWidth="1"/>
    <col min="10760" max="10760" width="24" style="13" customWidth="1"/>
    <col min="10761" max="10761" width="15.6640625" style="13" customWidth="1"/>
    <col min="10762" max="10762" width="14.1640625" style="13" customWidth="1"/>
    <col min="10763" max="11008" width="8.83203125" style="13"/>
    <col min="11009" max="11009" width="13.1640625" style="13" customWidth="1"/>
    <col min="11010" max="11010" width="33.33203125" style="13" customWidth="1"/>
    <col min="11011" max="11011" width="36.5" style="13" customWidth="1"/>
    <col min="11012" max="11012" width="17.83203125" style="13" customWidth="1"/>
    <col min="11013" max="11013" width="16.83203125" style="13" customWidth="1"/>
    <col min="11014" max="11014" width="17.6640625" style="13" customWidth="1"/>
    <col min="11015" max="11015" width="21.6640625" style="13" customWidth="1"/>
    <col min="11016" max="11016" width="24" style="13" customWidth="1"/>
    <col min="11017" max="11017" width="15.6640625" style="13" customWidth="1"/>
    <col min="11018" max="11018" width="14.1640625" style="13" customWidth="1"/>
    <col min="11019" max="11264" width="8.83203125" style="13"/>
    <col min="11265" max="11265" width="13.1640625" style="13" customWidth="1"/>
    <col min="11266" max="11266" width="33.33203125" style="13" customWidth="1"/>
    <col min="11267" max="11267" width="36.5" style="13" customWidth="1"/>
    <col min="11268" max="11268" width="17.83203125" style="13" customWidth="1"/>
    <col min="11269" max="11269" width="16.83203125" style="13" customWidth="1"/>
    <col min="11270" max="11270" width="17.6640625" style="13" customWidth="1"/>
    <col min="11271" max="11271" width="21.6640625" style="13" customWidth="1"/>
    <col min="11272" max="11272" width="24" style="13" customWidth="1"/>
    <col min="11273" max="11273" width="15.6640625" style="13" customWidth="1"/>
    <col min="11274" max="11274" width="14.1640625" style="13" customWidth="1"/>
    <col min="11275" max="11520" width="8.83203125" style="13"/>
    <col min="11521" max="11521" width="13.1640625" style="13" customWidth="1"/>
    <col min="11522" max="11522" width="33.33203125" style="13" customWidth="1"/>
    <col min="11523" max="11523" width="36.5" style="13" customWidth="1"/>
    <col min="11524" max="11524" width="17.83203125" style="13" customWidth="1"/>
    <col min="11525" max="11525" width="16.83203125" style="13" customWidth="1"/>
    <col min="11526" max="11526" width="17.6640625" style="13" customWidth="1"/>
    <col min="11527" max="11527" width="21.6640625" style="13" customWidth="1"/>
    <col min="11528" max="11528" width="24" style="13" customWidth="1"/>
    <col min="11529" max="11529" width="15.6640625" style="13" customWidth="1"/>
    <col min="11530" max="11530" width="14.1640625" style="13" customWidth="1"/>
    <col min="11531" max="11776" width="8.83203125" style="13"/>
    <col min="11777" max="11777" width="13.1640625" style="13" customWidth="1"/>
    <col min="11778" max="11778" width="33.33203125" style="13" customWidth="1"/>
    <col min="11779" max="11779" width="36.5" style="13" customWidth="1"/>
    <col min="11780" max="11780" width="17.83203125" style="13" customWidth="1"/>
    <col min="11781" max="11781" width="16.83203125" style="13" customWidth="1"/>
    <col min="11782" max="11782" width="17.6640625" style="13" customWidth="1"/>
    <col min="11783" max="11783" width="21.6640625" style="13" customWidth="1"/>
    <col min="11784" max="11784" width="24" style="13" customWidth="1"/>
    <col min="11785" max="11785" width="15.6640625" style="13" customWidth="1"/>
    <col min="11786" max="11786" width="14.1640625" style="13" customWidth="1"/>
    <col min="11787" max="12032" width="8.83203125" style="13"/>
    <col min="12033" max="12033" width="13.1640625" style="13" customWidth="1"/>
    <col min="12034" max="12034" width="33.33203125" style="13" customWidth="1"/>
    <col min="12035" max="12035" width="36.5" style="13" customWidth="1"/>
    <col min="12036" max="12036" width="17.83203125" style="13" customWidth="1"/>
    <col min="12037" max="12037" width="16.83203125" style="13" customWidth="1"/>
    <col min="12038" max="12038" width="17.6640625" style="13" customWidth="1"/>
    <col min="12039" max="12039" width="21.6640625" style="13" customWidth="1"/>
    <col min="12040" max="12040" width="24" style="13" customWidth="1"/>
    <col min="12041" max="12041" width="15.6640625" style="13" customWidth="1"/>
    <col min="12042" max="12042" width="14.1640625" style="13" customWidth="1"/>
    <col min="12043" max="12288" width="8.83203125" style="13"/>
    <col min="12289" max="12289" width="13.1640625" style="13" customWidth="1"/>
    <col min="12290" max="12290" width="33.33203125" style="13" customWidth="1"/>
    <col min="12291" max="12291" width="36.5" style="13" customWidth="1"/>
    <col min="12292" max="12292" width="17.83203125" style="13" customWidth="1"/>
    <col min="12293" max="12293" width="16.83203125" style="13" customWidth="1"/>
    <col min="12294" max="12294" width="17.6640625" style="13" customWidth="1"/>
    <col min="12295" max="12295" width="21.6640625" style="13" customWidth="1"/>
    <col min="12296" max="12296" width="24" style="13" customWidth="1"/>
    <col min="12297" max="12297" width="15.6640625" style="13" customWidth="1"/>
    <col min="12298" max="12298" width="14.1640625" style="13" customWidth="1"/>
    <col min="12299" max="12544" width="8.83203125" style="13"/>
    <col min="12545" max="12545" width="13.1640625" style="13" customWidth="1"/>
    <col min="12546" max="12546" width="33.33203125" style="13" customWidth="1"/>
    <col min="12547" max="12547" width="36.5" style="13" customWidth="1"/>
    <col min="12548" max="12548" width="17.83203125" style="13" customWidth="1"/>
    <col min="12549" max="12549" width="16.83203125" style="13" customWidth="1"/>
    <col min="12550" max="12550" width="17.6640625" style="13" customWidth="1"/>
    <col min="12551" max="12551" width="21.6640625" style="13" customWidth="1"/>
    <col min="12552" max="12552" width="24" style="13" customWidth="1"/>
    <col min="12553" max="12553" width="15.6640625" style="13" customWidth="1"/>
    <col min="12554" max="12554" width="14.1640625" style="13" customWidth="1"/>
    <col min="12555" max="12800" width="8.83203125" style="13"/>
    <col min="12801" max="12801" width="13.1640625" style="13" customWidth="1"/>
    <col min="12802" max="12802" width="33.33203125" style="13" customWidth="1"/>
    <col min="12803" max="12803" width="36.5" style="13" customWidth="1"/>
    <col min="12804" max="12804" width="17.83203125" style="13" customWidth="1"/>
    <col min="12805" max="12805" width="16.83203125" style="13" customWidth="1"/>
    <col min="12806" max="12806" width="17.6640625" style="13" customWidth="1"/>
    <col min="12807" max="12807" width="21.6640625" style="13" customWidth="1"/>
    <col min="12808" max="12808" width="24" style="13" customWidth="1"/>
    <col min="12809" max="12809" width="15.6640625" style="13" customWidth="1"/>
    <col min="12810" max="12810" width="14.1640625" style="13" customWidth="1"/>
    <col min="12811" max="13056" width="8.83203125" style="13"/>
    <col min="13057" max="13057" width="13.1640625" style="13" customWidth="1"/>
    <col min="13058" max="13058" width="33.33203125" style="13" customWidth="1"/>
    <col min="13059" max="13059" width="36.5" style="13" customWidth="1"/>
    <col min="13060" max="13060" width="17.83203125" style="13" customWidth="1"/>
    <col min="13061" max="13061" width="16.83203125" style="13" customWidth="1"/>
    <col min="13062" max="13062" width="17.6640625" style="13" customWidth="1"/>
    <col min="13063" max="13063" width="21.6640625" style="13" customWidth="1"/>
    <col min="13064" max="13064" width="24" style="13" customWidth="1"/>
    <col min="13065" max="13065" width="15.6640625" style="13" customWidth="1"/>
    <col min="13066" max="13066" width="14.1640625" style="13" customWidth="1"/>
    <col min="13067" max="13312" width="8.83203125" style="13"/>
    <col min="13313" max="13313" width="13.1640625" style="13" customWidth="1"/>
    <col min="13314" max="13314" width="33.33203125" style="13" customWidth="1"/>
    <col min="13315" max="13315" width="36.5" style="13" customWidth="1"/>
    <col min="13316" max="13316" width="17.83203125" style="13" customWidth="1"/>
    <col min="13317" max="13317" width="16.83203125" style="13" customWidth="1"/>
    <col min="13318" max="13318" width="17.6640625" style="13" customWidth="1"/>
    <col min="13319" max="13319" width="21.6640625" style="13" customWidth="1"/>
    <col min="13320" max="13320" width="24" style="13" customWidth="1"/>
    <col min="13321" max="13321" width="15.6640625" style="13" customWidth="1"/>
    <col min="13322" max="13322" width="14.1640625" style="13" customWidth="1"/>
    <col min="13323" max="13568" width="8.83203125" style="13"/>
    <col min="13569" max="13569" width="13.1640625" style="13" customWidth="1"/>
    <col min="13570" max="13570" width="33.33203125" style="13" customWidth="1"/>
    <col min="13571" max="13571" width="36.5" style="13" customWidth="1"/>
    <col min="13572" max="13572" width="17.83203125" style="13" customWidth="1"/>
    <col min="13573" max="13573" width="16.83203125" style="13" customWidth="1"/>
    <col min="13574" max="13574" width="17.6640625" style="13" customWidth="1"/>
    <col min="13575" max="13575" width="21.6640625" style="13" customWidth="1"/>
    <col min="13576" max="13576" width="24" style="13" customWidth="1"/>
    <col min="13577" max="13577" width="15.6640625" style="13" customWidth="1"/>
    <col min="13578" max="13578" width="14.1640625" style="13" customWidth="1"/>
    <col min="13579" max="13824" width="8.83203125" style="13"/>
    <col min="13825" max="13825" width="13.1640625" style="13" customWidth="1"/>
    <col min="13826" max="13826" width="33.33203125" style="13" customWidth="1"/>
    <col min="13827" max="13827" width="36.5" style="13" customWidth="1"/>
    <col min="13828" max="13828" width="17.83203125" style="13" customWidth="1"/>
    <col min="13829" max="13829" width="16.83203125" style="13" customWidth="1"/>
    <col min="13830" max="13830" width="17.6640625" style="13" customWidth="1"/>
    <col min="13831" max="13831" width="21.6640625" style="13" customWidth="1"/>
    <col min="13832" max="13832" width="24" style="13" customWidth="1"/>
    <col min="13833" max="13833" width="15.6640625" style="13" customWidth="1"/>
    <col min="13834" max="13834" width="14.1640625" style="13" customWidth="1"/>
    <col min="13835" max="14080" width="8.83203125" style="13"/>
    <col min="14081" max="14081" width="13.1640625" style="13" customWidth="1"/>
    <col min="14082" max="14082" width="33.33203125" style="13" customWidth="1"/>
    <col min="14083" max="14083" width="36.5" style="13" customWidth="1"/>
    <col min="14084" max="14084" width="17.83203125" style="13" customWidth="1"/>
    <col min="14085" max="14085" width="16.83203125" style="13" customWidth="1"/>
    <col min="14086" max="14086" width="17.6640625" style="13" customWidth="1"/>
    <col min="14087" max="14087" width="21.6640625" style="13" customWidth="1"/>
    <col min="14088" max="14088" width="24" style="13" customWidth="1"/>
    <col min="14089" max="14089" width="15.6640625" style="13" customWidth="1"/>
    <col min="14090" max="14090" width="14.1640625" style="13" customWidth="1"/>
    <col min="14091" max="14336" width="8.83203125" style="13"/>
    <col min="14337" max="14337" width="13.1640625" style="13" customWidth="1"/>
    <col min="14338" max="14338" width="33.33203125" style="13" customWidth="1"/>
    <col min="14339" max="14339" width="36.5" style="13" customWidth="1"/>
    <col min="14340" max="14340" width="17.83203125" style="13" customWidth="1"/>
    <col min="14341" max="14341" width="16.83203125" style="13" customWidth="1"/>
    <col min="14342" max="14342" width="17.6640625" style="13" customWidth="1"/>
    <col min="14343" max="14343" width="21.6640625" style="13" customWidth="1"/>
    <col min="14344" max="14344" width="24" style="13" customWidth="1"/>
    <col min="14345" max="14345" width="15.6640625" style="13" customWidth="1"/>
    <col min="14346" max="14346" width="14.1640625" style="13" customWidth="1"/>
    <col min="14347" max="14592" width="8.83203125" style="13"/>
    <col min="14593" max="14593" width="13.1640625" style="13" customWidth="1"/>
    <col min="14594" max="14594" width="33.33203125" style="13" customWidth="1"/>
    <col min="14595" max="14595" width="36.5" style="13" customWidth="1"/>
    <col min="14596" max="14596" width="17.83203125" style="13" customWidth="1"/>
    <col min="14597" max="14597" width="16.83203125" style="13" customWidth="1"/>
    <col min="14598" max="14598" width="17.6640625" style="13" customWidth="1"/>
    <col min="14599" max="14599" width="21.6640625" style="13" customWidth="1"/>
    <col min="14600" max="14600" width="24" style="13" customWidth="1"/>
    <col min="14601" max="14601" width="15.6640625" style="13" customWidth="1"/>
    <col min="14602" max="14602" width="14.1640625" style="13" customWidth="1"/>
    <col min="14603" max="14848" width="8.83203125" style="13"/>
    <col min="14849" max="14849" width="13.1640625" style="13" customWidth="1"/>
    <col min="14850" max="14850" width="33.33203125" style="13" customWidth="1"/>
    <col min="14851" max="14851" width="36.5" style="13" customWidth="1"/>
    <col min="14852" max="14852" width="17.83203125" style="13" customWidth="1"/>
    <col min="14853" max="14853" width="16.83203125" style="13" customWidth="1"/>
    <col min="14854" max="14854" width="17.6640625" style="13" customWidth="1"/>
    <col min="14855" max="14855" width="21.6640625" style="13" customWidth="1"/>
    <col min="14856" max="14856" width="24" style="13" customWidth="1"/>
    <col min="14857" max="14857" width="15.6640625" style="13" customWidth="1"/>
    <col min="14858" max="14858" width="14.1640625" style="13" customWidth="1"/>
    <col min="14859" max="15104" width="8.83203125" style="13"/>
    <col min="15105" max="15105" width="13.1640625" style="13" customWidth="1"/>
    <col min="15106" max="15106" width="33.33203125" style="13" customWidth="1"/>
    <col min="15107" max="15107" width="36.5" style="13" customWidth="1"/>
    <col min="15108" max="15108" width="17.83203125" style="13" customWidth="1"/>
    <col min="15109" max="15109" width="16.83203125" style="13" customWidth="1"/>
    <col min="15110" max="15110" width="17.6640625" style="13" customWidth="1"/>
    <col min="15111" max="15111" width="21.6640625" style="13" customWidth="1"/>
    <col min="15112" max="15112" width="24" style="13" customWidth="1"/>
    <col min="15113" max="15113" width="15.6640625" style="13" customWidth="1"/>
    <col min="15114" max="15114" width="14.1640625" style="13" customWidth="1"/>
    <col min="15115" max="15360" width="8.83203125" style="13"/>
    <col min="15361" max="15361" width="13.1640625" style="13" customWidth="1"/>
    <col min="15362" max="15362" width="33.33203125" style="13" customWidth="1"/>
    <col min="15363" max="15363" width="36.5" style="13" customWidth="1"/>
    <col min="15364" max="15364" width="17.83203125" style="13" customWidth="1"/>
    <col min="15365" max="15365" width="16.83203125" style="13" customWidth="1"/>
    <col min="15366" max="15366" width="17.6640625" style="13" customWidth="1"/>
    <col min="15367" max="15367" width="21.6640625" style="13" customWidth="1"/>
    <col min="15368" max="15368" width="24" style="13" customWidth="1"/>
    <col min="15369" max="15369" width="15.6640625" style="13" customWidth="1"/>
    <col min="15370" max="15370" width="14.1640625" style="13" customWidth="1"/>
    <col min="15371" max="15616" width="8.83203125" style="13"/>
    <col min="15617" max="15617" width="13.1640625" style="13" customWidth="1"/>
    <col min="15618" max="15618" width="33.33203125" style="13" customWidth="1"/>
    <col min="15619" max="15619" width="36.5" style="13" customWidth="1"/>
    <col min="15620" max="15620" width="17.83203125" style="13" customWidth="1"/>
    <col min="15621" max="15621" width="16.83203125" style="13" customWidth="1"/>
    <col min="15622" max="15622" width="17.6640625" style="13" customWidth="1"/>
    <col min="15623" max="15623" width="21.6640625" style="13" customWidth="1"/>
    <col min="15624" max="15624" width="24" style="13" customWidth="1"/>
    <col min="15625" max="15625" width="15.6640625" style="13" customWidth="1"/>
    <col min="15626" max="15626" width="14.1640625" style="13" customWidth="1"/>
    <col min="15627" max="15872" width="8.83203125" style="13"/>
    <col min="15873" max="15873" width="13.1640625" style="13" customWidth="1"/>
    <col min="15874" max="15874" width="33.33203125" style="13" customWidth="1"/>
    <col min="15875" max="15875" width="36.5" style="13" customWidth="1"/>
    <col min="15876" max="15876" width="17.83203125" style="13" customWidth="1"/>
    <col min="15877" max="15877" width="16.83203125" style="13" customWidth="1"/>
    <col min="15878" max="15878" width="17.6640625" style="13" customWidth="1"/>
    <col min="15879" max="15879" width="21.6640625" style="13" customWidth="1"/>
    <col min="15880" max="15880" width="24" style="13" customWidth="1"/>
    <col min="15881" max="15881" width="15.6640625" style="13" customWidth="1"/>
    <col min="15882" max="15882" width="14.1640625" style="13" customWidth="1"/>
    <col min="15883" max="16128" width="8.83203125" style="13"/>
    <col min="16129" max="16129" width="13.1640625" style="13" customWidth="1"/>
    <col min="16130" max="16130" width="33.33203125" style="13" customWidth="1"/>
    <col min="16131" max="16131" width="36.5" style="13" customWidth="1"/>
    <col min="16132" max="16132" width="17.83203125" style="13" customWidth="1"/>
    <col min="16133" max="16133" width="16.83203125" style="13" customWidth="1"/>
    <col min="16134" max="16134" width="17.6640625" style="13" customWidth="1"/>
    <col min="16135" max="16135" width="21.6640625" style="13" customWidth="1"/>
    <col min="16136" max="16136" width="24" style="13" customWidth="1"/>
    <col min="16137" max="16137" width="15.6640625" style="13" customWidth="1"/>
    <col min="16138" max="16138" width="14.1640625" style="13" customWidth="1"/>
    <col min="16139" max="16384" width="8.83203125" style="13"/>
  </cols>
  <sheetData>
    <row r="1" spans="1:5" ht="15" customHeight="1">
      <c r="A1" s="11" t="s">
        <v>2744</v>
      </c>
      <c r="B1" s="12"/>
      <c r="C1" s="12"/>
      <c r="D1" s="39"/>
      <c r="E1" s="39"/>
    </row>
    <row r="2" spans="1:5" ht="15" customHeight="1">
      <c r="A2" s="12"/>
      <c r="B2" s="12"/>
      <c r="C2" s="12"/>
      <c r="D2" s="13"/>
    </row>
    <row r="3" spans="1:5">
      <c r="A3" s="12"/>
      <c r="B3" s="14" t="s">
        <v>24</v>
      </c>
      <c r="C3" s="15"/>
      <c r="D3" s="13"/>
    </row>
    <row r="4" spans="1:5">
      <c r="A4" s="12"/>
      <c r="B4" s="16" t="s">
        <v>25</v>
      </c>
      <c r="C4" s="15">
        <f>D35</f>
        <v>13</v>
      </c>
      <c r="D4" s="13"/>
    </row>
    <row r="5" spans="1:5">
      <c r="A5" s="12"/>
      <c r="B5" s="16" t="s">
        <v>26</v>
      </c>
      <c r="C5" s="15">
        <f>D29</f>
        <v>9</v>
      </c>
      <c r="D5" s="13"/>
    </row>
    <row r="6" spans="1:5">
      <c r="A6" s="12"/>
      <c r="B6" s="16" t="s">
        <v>27</v>
      </c>
      <c r="C6" s="15">
        <v>0</v>
      </c>
      <c r="D6" s="13"/>
    </row>
    <row r="7" spans="1:5">
      <c r="A7" s="12"/>
      <c r="B7" s="16" t="s">
        <v>28</v>
      </c>
      <c r="C7" s="15">
        <v>0</v>
      </c>
      <c r="D7" s="13"/>
    </row>
    <row r="8" spans="1:5">
      <c r="A8" s="12"/>
      <c r="B8" s="16" t="s">
        <v>29</v>
      </c>
      <c r="C8" s="15">
        <f>D42</f>
        <v>2</v>
      </c>
      <c r="D8" s="13"/>
    </row>
    <row r="9" spans="1:5">
      <c r="A9" s="12"/>
      <c r="B9" s="16" t="s">
        <v>30</v>
      </c>
      <c r="C9" s="15">
        <f>D46</f>
        <v>2</v>
      </c>
      <c r="D9" s="13"/>
    </row>
    <row r="10" spans="1:5">
      <c r="A10" s="12"/>
      <c r="B10" s="16" t="s">
        <v>14</v>
      </c>
      <c r="C10" s="15">
        <v>0</v>
      </c>
      <c r="D10" s="13"/>
    </row>
    <row r="11" spans="1:5">
      <c r="A11" s="12"/>
      <c r="B11" s="16" t="s">
        <v>15</v>
      </c>
      <c r="C11" s="15">
        <v>0</v>
      </c>
      <c r="D11" s="13"/>
    </row>
    <row r="12" spans="1:5">
      <c r="A12" s="12"/>
      <c r="B12" s="16" t="s">
        <v>31</v>
      </c>
      <c r="C12" s="15">
        <f>D74</f>
        <v>26</v>
      </c>
      <c r="D12" s="13"/>
    </row>
    <row r="13" spans="1:5">
      <c r="A13" s="12"/>
      <c r="B13" s="16" t="s">
        <v>32</v>
      </c>
      <c r="C13" s="15">
        <f>D38</f>
        <v>1</v>
      </c>
      <c r="D13" s="13"/>
    </row>
    <row r="14" spans="1:5">
      <c r="A14" s="12"/>
      <c r="B14" s="16" t="s">
        <v>33</v>
      </c>
      <c r="C14" s="15">
        <v>0</v>
      </c>
      <c r="D14" s="13"/>
    </row>
    <row r="15" spans="1:5">
      <c r="A15" s="12"/>
      <c r="B15" s="16" t="s">
        <v>4</v>
      </c>
      <c r="C15" s="17">
        <f>C4+C6+C7+C8+C9+C10+C11</f>
        <v>17</v>
      </c>
      <c r="D15" s="13"/>
    </row>
    <row r="16" spans="1:5">
      <c r="A16" s="12"/>
      <c r="B16" s="16" t="s">
        <v>34</v>
      </c>
      <c r="C16" s="15">
        <f>F82</f>
        <v>5</v>
      </c>
      <c r="D16" s="13"/>
    </row>
    <row r="19" spans="1:9" s="63" customFormat="1" ht="24">
      <c r="A19" s="62" t="s">
        <v>35</v>
      </c>
      <c r="B19" s="62" t="s">
        <v>36</v>
      </c>
      <c r="C19" s="62" t="s">
        <v>37</v>
      </c>
      <c r="D19" s="62" t="s">
        <v>38</v>
      </c>
      <c r="E19" s="62" t="s">
        <v>39</v>
      </c>
      <c r="F19" s="62" t="s">
        <v>40</v>
      </c>
      <c r="G19" s="62" t="s">
        <v>41</v>
      </c>
      <c r="H19" s="62" t="s">
        <v>42</v>
      </c>
      <c r="I19" s="62" t="s">
        <v>1466</v>
      </c>
    </row>
    <row r="20" spans="1:9" ht="28">
      <c r="A20" s="58">
        <v>5</v>
      </c>
      <c r="B20" s="12" t="s">
        <v>2645</v>
      </c>
      <c r="C20" s="64" t="s">
        <v>2646</v>
      </c>
      <c r="D20" s="59" t="s">
        <v>1469</v>
      </c>
      <c r="E20" s="13" t="s">
        <v>1470</v>
      </c>
      <c r="F20" s="13" t="s">
        <v>1009</v>
      </c>
    </row>
    <row r="21" spans="1:9" ht="42">
      <c r="A21" s="58">
        <v>8</v>
      </c>
      <c r="B21" s="12" t="s">
        <v>2650</v>
      </c>
      <c r="C21" s="64" t="s">
        <v>2651</v>
      </c>
      <c r="D21" s="59" t="s">
        <v>1469</v>
      </c>
      <c r="E21" s="13" t="s">
        <v>1470</v>
      </c>
      <c r="F21" s="13" t="s">
        <v>1009</v>
      </c>
    </row>
    <row r="22" spans="1:9" ht="42">
      <c r="A22" s="58">
        <v>14</v>
      </c>
      <c r="B22" s="12" t="s">
        <v>2652</v>
      </c>
      <c r="C22" s="64" t="s">
        <v>2653</v>
      </c>
      <c r="D22" s="59" t="s">
        <v>1469</v>
      </c>
      <c r="E22" s="13" t="s">
        <v>1470</v>
      </c>
      <c r="F22" s="13" t="s">
        <v>1009</v>
      </c>
    </row>
    <row r="23" spans="1:9" ht="28">
      <c r="A23" s="58">
        <v>15</v>
      </c>
      <c r="B23" s="12" t="s">
        <v>2654</v>
      </c>
      <c r="C23" s="64" t="s">
        <v>2655</v>
      </c>
      <c r="D23" s="59" t="s">
        <v>1469</v>
      </c>
      <c r="E23" s="13" t="s">
        <v>1470</v>
      </c>
      <c r="F23" s="13" t="s">
        <v>1009</v>
      </c>
    </row>
    <row r="24" spans="1:9" ht="42">
      <c r="A24" s="58">
        <v>17</v>
      </c>
      <c r="B24" s="12" t="s">
        <v>2656</v>
      </c>
      <c r="C24" s="64" t="s">
        <v>2657</v>
      </c>
      <c r="D24" s="59" t="s">
        <v>1469</v>
      </c>
      <c r="E24" s="13" t="s">
        <v>1470</v>
      </c>
      <c r="F24" s="13" t="s">
        <v>1009</v>
      </c>
    </row>
    <row r="25" spans="1:9" ht="28">
      <c r="A25" s="58">
        <v>19</v>
      </c>
      <c r="B25" s="12" t="s">
        <v>2658</v>
      </c>
      <c r="C25" s="64" t="s">
        <v>2659</v>
      </c>
      <c r="D25" s="59" t="s">
        <v>1469</v>
      </c>
      <c r="E25" s="13" t="s">
        <v>1470</v>
      </c>
      <c r="F25" s="13" t="s">
        <v>1009</v>
      </c>
    </row>
    <row r="26" spans="1:9" ht="42">
      <c r="A26" s="58">
        <v>21</v>
      </c>
      <c r="B26" s="12" t="s">
        <v>2660</v>
      </c>
      <c r="C26" s="64" t="s">
        <v>2661</v>
      </c>
      <c r="D26" s="59" t="s">
        <v>1469</v>
      </c>
      <c r="E26" s="13" t="s">
        <v>1470</v>
      </c>
      <c r="F26" s="13" t="s">
        <v>1009</v>
      </c>
    </row>
    <row r="27" spans="1:9" ht="56">
      <c r="A27" s="58">
        <v>23</v>
      </c>
      <c r="B27" s="12" t="s">
        <v>2662</v>
      </c>
      <c r="C27" s="64" t="s">
        <v>2663</v>
      </c>
      <c r="D27" s="59" t="s">
        <v>1469</v>
      </c>
      <c r="E27" s="13" t="s">
        <v>1470</v>
      </c>
      <c r="F27" s="13" t="s">
        <v>1009</v>
      </c>
    </row>
    <row r="28" spans="1:9" ht="28">
      <c r="A28" s="58">
        <v>45</v>
      </c>
      <c r="B28" s="12" t="s">
        <v>2664</v>
      </c>
      <c r="C28" s="64" t="s">
        <v>2665</v>
      </c>
      <c r="D28" s="59" t="s">
        <v>1469</v>
      </c>
      <c r="E28" s="13" t="s">
        <v>1470</v>
      </c>
      <c r="F28" s="13" t="s">
        <v>1009</v>
      </c>
    </row>
    <row r="29" spans="1:9">
      <c r="A29" s="58"/>
      <c r="B29" s="12"/>
      <c r="C29" s="65" t="s">
        <v>81</v>
      </c>
      <c r="D29" s="60">
        <f>COUNTA(D20:D28)</f>
        <v>9</v>
      </c>
    </row>
    <row r="30" spans="1:9">
      <c r="A30" s="58"/>
      <c r="B30" s="12"/>
      <c r="C30" s="64"/>
    </row>
    <row r="31" spans="1:9" ht="42">
      <c r="A31" s="58">
        <v>13</v>
      </c>
      <c r="B31" s="12" t="s">
        <v>2666</v>
      </c>
      <c r="C31" s="64" t="s">
        <v>2667</v>
      </c>
      <c r="D31" s="59" t="s">
        <v>1469</v>
      </c>
      <c r="F31" s="13" t="s">
        <v>1009</v>
      </c>
    </row>
    <row r="32" spans="1:9" ht="56">
      <c r="A32" s="58">
        <v>43</v>
      </c>
      <c r="B32" s="12" t="s">
        <v>2647</v>
      </c>
      <c r="C32" s="64" t="s">
        <v>2648</v>
      </c>
      <c r="D32" s="59" t="s">
        <v>1469</v>
      </c>
      <c r="E32" s="34" t="s">
        <v>2649</v>
      </c>
      <c r="F32" s="13" t="s">
        <v>1009</v>
      </c>
    </row>
    <row r="33" spans="1:9" ht="28">
      <c r="A33" s="58">
        <v>22</v>
      </c>
      <c r="B33" s="12" t="s">
        <v>2668</v>
      </c>
      <c r="C33" s="64" t="s">
        <v>2669</v>
      </c>
      <c r="D33" s="59" t="s">
        <v>1469</v>
      </c>
      <c r="F33" s="13" t="s">
        <v>1009</v>
      </c>
    </row>
    <row r="34" spans="1:9" ht="28">
      <c r="A34" s="58">
        <v>39</v>
      </c>
      <c r="B34" s="12" t="s">
        <v>2670</v>
      </c>
      <c r="C34" s="64" t="s">
        <v>2671</v>
      </c>
      <c r="D34" s="59" t="s">
        <v>1469</v>
      </c>
      <c r="F34" s="13" t="s">
        <v>1009</v>
      </c>
    </row>
    <row r="35" spans="1:9">
      <c r="A35" s="58"/>
      <c r="B35" s="12"/>
      <c r="C35" s="65" t="s">
        <v>88</v>
      </c>
      <c r="D35" s="60">
        <f>COUNTA(D31:D34)+D29</f>
        <v>13</v>
      </c>
    </row>
    <row r="36" spans="1:9">
      <c r="A36" s="58"/>
      <c r="B36" s="12"/>
      <c r="C36" s="64"/>
    </row>
    <row r="37" spans="1:9" ht="28">
      <c r="A37" s="58">
        <v>47</v>
      </c>
      <c r="B37" s="12" t="s">
        <v>2672</v>
      </c>
      <c r="C37" s="64" t="s">
        <v>2673</v>
      </c>
      <c r="D37" s="59" t="s">
        <v>1728</v>
      </c>
      <c r="F37" s="13" t="s">
        <v>1009</v>
      </c>
    </row>
    <row r="38" spans="1:9">
      <c r="A38" s="58"/>
      <c r="B38" s="12"/>
      <c r="C38" s="65" t="s">
        <v>95</v>
      </c>
      <c r="D38" s="60">
        <f>COUNTA(D37)</f>
        <v>1</v>
      </c>
    </row>
    <row r="39" spans="1:9">
      <c r="A39" s="58"/>
      <c r="B39" s="12"/>
      <c r="C39" s="64"/>
    </row>
    <row r="40" spans="1:9" ht="42">
      <c r="A40" s="58">
        <v>26</v>
      </c>
      <c r="B40" s="12" t="s">
        <v>2674</v>
      </c>
      <c r="C40" s="64" t="s">
        <v>2675</v>
      </c>
      <c r="D40" s="59" t="s">
        <v>1514</v>
      </c>
      <c r="F40" s="13" t="s">
        <v>1009</v>
      </c>
    </row>
    <row r="41" spans="1:9" ht="28">
      <c r="A41" s="58">
        <v>32</v>
      </c>
      <c r="B41" s="12" t="s">
        <v>2676</v>
      </c>
      <c r="C41" s="64" t="s">
        <v>2677</v>
      </c>
      <c r="D41" s="59" t="s">
        <v>1514</v>
      </c>
      <c r="F41" s="13" t="s">
        <v>1009</v>
      </c>
    </row>
    <row r="42" spans="1:9">
      <c r="A42" s="58"/>
      <c r="B42" s="12"/>
      <c r="C42" s="65" t="s">
        <v>95</v>
      </c>
      <c r="D42" s="60">
        <f>COUNTA(D40:D41)</f>
        <v>2</v>
      </c>
    </row>
    <row r="43" spans="1:9">
      <c r="A43" s="58"/>
      <c r="B43" s="12"/>
      <c r="C43" s="64"/>
    </row>
    <row r="44" spans="1:9" ht="28">
      <c r="A44" s="58">
        <v>38</v>
      </c>
      <c r="B44" s="12" t="s">
        <v>2678</v>
      </c>
      <c r="C44" s="64" t="s">
        <v>2679</v>
      </c>
      <c r="D44" s="59" t="s">
        <v>1517</v>
      </c>
      <c r="F44" s="13" t="s">
        <v>1010</v>
      </c>
      <c r="G44" s="13" t="s">
        <v>1524</v>
      </c>
      <c r="H44" s="34" t="s">
        <v>1517</v>
      </c>
      <c r="I44" s="34" t="s">
        <v>1010</v>
      </c>
    </row>
    <row r="45" spans="1:9" ht="42">
      <c r="A45" s="58">
        <v>1</v>
      </c>
      <c r="B45" s="12" t="s">
        <v>2680</v>
      </c>
      <c r="C45" s="64" t="s">
        <v>2681</v>
      </c>
      <c r="D45" s="59" t="s">
        <v>1527</v>
      </c>
      <c r="F45" s="13" t="s">
        <v>1009</v>
      </c>
    </row>
    <row r="46" spans="1:9">
      <c r="A46" s="58"/>
      <c r="B46" s="12"/>
      <c r="C46" s="65" t="s">
        <v>95</v>
      </c>
      <c r="D46" s="60">
        <f>COUNTA(D44:D45)</f>
        <v>2</v>
      </c>
    </row>
    <row r="47" spans="1:9">
      <c r="A47" s="58"/>
      <c r="B47" s="12"/>
      <c r="C47" s="64"/>
    </row>
    <row r="48" spans="1:9" ht="28">
      <c r="A48" s="58">
        <v>3</v>
      </c>
      <c r="B48" s="12" t="s">
        <v>2682</v>
      </c>
      <c r="C48" s="64" t="s">
        <v>2683</v>
      </c>
      <c r="D48" s="59" t="s">
        <v>1473</v>
      </c>
      <c r="F48" s="13" t="s">
        <v>1009</v>
      </c>
    </row>
    <row r="49" spans="1:6" ht="42">
      <c r="A49" s="58">
        <v>4</v>
      </c>
      <c r="B49" s="12" t="s">
        <v>2682</v>
      </c>
      <c r="C49" s="64" t="s">
        <v>2684</v>
      </c>
      <c r="D49" s="59" t="s">
        <v>1473</v>
      </c>
      <c r="F49" s="13" t="s">
        <v>1009</v>
      </c>
    </row>
    <row r="50" spans="1:6" ht="28">
      <c r="A50" s="58">
        <v>6</v>
      </c>
      <c r="B50" s="12" t="s">
        <v>2685</v>
      </c>
      <c r="C50" s="64" t="s">
        <v>2686</v>
      </c>
      <c r="D50" s="59" t="s">
        <v>1473</v>
      </c>
      <c r="F50" s="13" t="s">
        <v>1009</v>
      </c>
    </row>
    <row r="51" spans="1:6" ht="42">
      <c r="A51" s="58">
        <v>7</v>
      </c>
      <c r="B51" s="12" t="s">
        <v>2687</v>
      </c>
      <c r="C51" s="64" t="s">
        <v>2688</v>
      </c>
      <c r="D51" s="59" t="s">
        <v>1473</v>
      </c>
      <c r="F51" s="13" t="s">
        <v>1009</v>
      </c>
    </row>
    <row r="52" spans="1:6" ht="42">
      <c r="A52" s="58">
        <v>9</v>
      </c>
      <c r="B52" s="12" t="s">
        <v>2689</v>
      </c>
      <c r="C52" s="64" t="s">
        <v>2690</v>
      </c>
      <c r="D52" s="59" t="s">
        <v>1473</v>
      </c>
      <c r="F52" s="13" t="s">
        <v>1009</v>
      </c>
    </row>
    <row r="53" spans="1:6" ht="28">
      <c r="A53" s="58">
        <v>10</v>
      </c>
      <c r="B53" s="12" t="s">
        <v>2691</v>
      </c>
      <c r="C53" s="64" t="s">
        <v>2692</v>
      </c>
      <c r="D53" s="59" t="s">
        <v>1473</v>
      </c>
      <c r="F53" s="13" t="s">
        <v>1009</v>
      </c>
    </row>
    <row r="54" spans="1:6" ht="28">
      <c r="A54" s="58">
        <v>11</v>
      </c>
      <c r="B54" s="12" t="s">
        <v>2693</v>
      </c>
      <c r="C54" s="64" t="s">
        <v>2694</v>
      </c>
      <c r="D54" s="66" t="s">
        <v>1473</v>
      </c>
      <c r="F54" s="13" t="s">
        <v>1009</v>
      </c>
    </row>
    <row r="55" spans="1:6" ht="42">
      <c r="A55" s="58">
        <v>12</v>
      </c>
      <c r="B55" s="12" t="s">
        <v>2695</v>
      </c>
      <c r="C55" s="64" t="s">
        <v>2696</v>
      </c>
      <c r="D55" s="59" t="s">
        <v>1473</v>
      </c>
      <c r="F55" s="13" t="s">
        <v>1009</v>
      </c>
    </row>
    <row r="56" spans="1:6" ht="42">
      <c r="A56" s="58">
        <v>16</v>
      </c>
      <c r="B56" s="12" t="s">
        <v>2697</v>
      </c>
      <c r="C56" s="64" t="s">
        <v>2698</v>
      </c>
      <c r="D56" s="59" t="s">
        <v>1473</v>
      </c>
      <c r="F56" s="13" t="s">
        <v>1009</v>
      </c>
    </row>
    <row r="57" spans="1:6" ht="42">
      <c r="A57" s="58">
        <v>18</v>
      </c>
      <c r="B57" s="12" t="s">
        <v>2699</v>
      </c>
      <c r="C57" s="64" t="s">
        <v>2700</v>
      </c>
      <c r="D57" s="59" t="s">
        <v>1473</v>
      </c>
      <c r="F57" s="13" t="s">
        <v>1009</v>
      </c>
    </row>
    <row r="58" spans="1:6" ht="28">
      <c r="A58" s="58">
        <v>20</v>
      </c>
      <c r="B58" s="12" t="s">
        <v>2701</v>
      </c>
      <c r="C58" s="64" t="s">
        <v>2702</v>
      </c>
      <c r="D58" s="59" t="s">
        <v>1473</v>
      </c>
      <c r="F58" s="13" t="s">
        <v>1009</v>
      </c>
    </row>
    <row r="59" spans="1:6" ht="28">
      <c r="A59" s="58">
        <v>24</v>
      </c>
      <c r="B59" s="12" t="s">
        <v>2703</v>
      </c>
      <c r="C59" s="64" t="s">
        <v>2704</v>
      </c>
      <c r="D59" s="59" t="s">
        <v>1473</v>
      </c>
      <c r="F59" s="13" t="s">
        <v>1009</v>
      </c>
    </row>
    <row r="60" spans="1:6" ht="42">
      <c r="A60" s="58">
        <v>25</v>
      </c>
      <c r="B60" s="12" t="s">
        <v>2705</v>
      </c>
      <c r="C60" s="64" t="s">
        <v>2706</v>
      </c>
      <c r="D60" s="59" t="s">
        <v>1473</v>
      </c>
      <c r="F60" s="13" t="s">
        <v>1009</v>
      </c>
    </row>
    <row r="61" spans="1:6" ht="28">
      <c r="A61" s="58">
        <v>27</v>
      </c>
      <c r="B61" s="12" t="s">
        <v>2707</v>
      </c>
      <c r="C61" s="64" t="s">
        <v>2708</v>
      </c>
      <c r="D61" s="59" t="s">
        <v>1473</v>
      </c>
      <c r="F61" s="13" t="s">
        <v>1009</v>
      </c>
    </row>
    <row r="62" spans="1:6" ht="42">
      <c r="A62" s="58">
        <v>28</v>
      </c>
      <c r="B62" s="12" t="s">
        <v>2709</v>
      </c>
      <c r="C62" s="64" t="s">
        <v>2710</v>
      </c>
      <c r="D62" s="59" t="s">
        <v>1473</v>
      </c>
      <c r="F62" s="13" t="s">
        <v>1009</v>
      </c>
    </row>
    <row r="63" spans="1:6" ht="28">
      <c r="A63" s="58">
        <v>29</v>
      </c>
      <c r="B63" s="12" t="s">
        <v>2711</v>
      </c>
      <c r="C63" s="64" t="s">
        <v>2712</v>
      </c>
      <c r="D63" s="59" t="s">
        <v>1473</v>
      </c>
      <c r="F63" s="13" t="s">
        <v>1009</v>
      </c>
    </row>
    <row r="64" spans="1:6" ht="56">
      <c r="A64" s="58">
        <v>30</v>
      </c>
      <c r="B64" s="12" t="s">
        <v>2713</v>
      </c>
      <c r="C64" s="64" t="s">
        <v>2714</v>
      </c>
      <c r="D64" s="59" t="s">
        <v>1473</v>
      </c>
      <c r="F64" s="13" t="s">
        <v>1009</v>
      </c>
    </row>
    <row r="65" spans="1:9" ht="42">
      <c r="A65" s="58">
        <v>31</v>
      </c>
      <c r="B65" s="12" t="s">
        <v>2715</v>
      </c>
      <c r="C65" s="64" t="s">
        <v>2716</v>
      </c>
      <c r="D65" s="59" t="s">
        <v>1473</v>
      </c>
      <c r="F65" s="13" t="s">
        <v>1009</v>
      </c>
    </row>
    <row r="66" spans="1:9" ht="28">
      <c r="A66" s="58">
        <v>33</v>
      </c>
      <c r="B66" s="12" t="s">
        <v>2717</v>
      </c>
      <c r="C66" s="64" t="s">
        <v>2718</v>
      </c>
      <c r="D66" s="59" t="s">
        <v>1473</v>
      </c>
      <c r="F66" s="13" t="s">
        <v>1009</v>
      </c>
    </row>
    <row r="67" spans="1:9" ht="28">
      <c r="A67" s="58">
        <v>34</v>
      </c>
      <c r="B67" s="12" t="s">
        <v>2719</v>
      </c>
      <c r="C67" s="64" t="s">
        <v>2720</v>
      </c>
      <c r="D67" s="59" t="s">
        <v>1473</v>
      </c>
      <c r="F67" s="13" t="s">
        <v>1009</v>
      </c>
    </row>
    <row r="68" spans="1:9" ht="28">
      <c r="A68" s="58">
        <v>35</v>
      </c>
      <c r="B68" s="12" t="s">
        <v>2721</v>
      </c>
      <c r="C68" s="64" t="s">
        <v>2722</v>
      </c>
      <c r="D68" s="59" t="s">
        <v>1473</v>
      </c>
      <c r="F68" s="13" t="s">
        <v>1009</v>
      </c>
    </row>
    <row r="69" spans="1:9" ht="42">
      <c r="A69" s="58">
        <v>36</v>
      </c>
      <c r="B69" s="12" t="s">
        <v>2723</v>
      </c>
      <c r="C69" s="64" t="s">
        <v>2724</v>
      </c>
      <c r="D69" s="59" t="s">
        <v>1473</v>
      </c>
      <c r="F69" s="13" t="s">
        <v>1009</v>
      </c>
    </row>
    <row r="70" spans="1:9" ht="42">
      <c r="A70" s="58">
        <v>40</v>
      </c>
      <c r="B70" s="12" t="s">
        <v>2725</v>
      </c>
      <c r="C70" s="64" t="s">
        <v>2726</v>
      </c>
      <c r="D70" s="59" t="s">
        <v>1473</v>
      </c>
      <c r="F70" s="13" t="s">
        <v>1009</v>
      </c>
    </row>
    <row r="71" spans="1:9" ht="28">
      <c r="A71" s="58">
        <v>41</v>
      </c>
      <c r="B71" s="12" t="s">
        <v>2727</v>
      </c>
      <c r="C71" s="64" t="s">
        <v>2728</v>
      </c>
      <c r="D71" s="59" t="s">
        <v>1473</v>
      </c>
      <c r="F71" s="13" t="s">
        <v>1009</v>
      </c>
    </row>
    <row r="72" spans="1:9" ht="28">
      <c r="A72" s="58">
        <v>42</v>
      </c>
      <c r="B72" s="12" t="s">
        <v>2729</v>
      </c>
      <c r="C72" s="64" t="s">
        <v>2730</v>
      </c>
      <c r="D72" s="59" t="s">
        <v>1473</v>
      </c>
      <c r="F72" s="13" t="s">
        <v>1009</v>
      </c>
    </row>
    <row r="73" spans="1:9" ht="28">
      <c r="A73" s="58">
        <v>44</v>
      </c>
      <c r="B73" s="12" t="s">
        <v>2731</v>
      </c>
      <c r="C73" s="64" t="s">
        <v>2732</v>
      </c>
      <c r="D73" s="59" t="s">
        <v>1473</v>
      </c>
      <c r="F73" s="13" t="s">
        <v>1009</v>
      </c>
    </row>
    <row r="74" spans="1:9">
      <c r="A74" s="58"/>
      <c r="B74" s="12"/>
      <c r="C74" s="65" t="s">
        <v>95</v>
      </c>
      <c r="D74" s="60">
        <f>COUNTA(D48:D73)</f>
        <v>26</v>
      </c>
    </row>
    <row r="75" spans="1:9">
      <c r="A75" s="58"/>
      <c r="B75" s="12"/>
      <c r="C75" s="64"/>
    </row>
    <row r="76" spans="1:9">
      <c r="A76" s="58"/>
      <c r="B76" s="12"/>
      <c r="C76" s="64"/>
    </row>
    <row r="77" spans="1:9" ht="28">
      <c r="A77" s="58">
        <v>2</v>
      </c>
      <c r="B77" s="12" t="s">
        <v>2733</v>
      </c>
      <c r="C77" s="64" t="s">
        <v>2734</v>
      </c>
      <c r="D77" s="59" t="s">
        <v>2735</v>
      </c>
      <c r="E77" s="13" t="s">
        <v>2735</v>
      </c>
      <c r="F77" s="13" t="s">
        <v>1010</v>
      </c>
      <c r="G77" s="13" t="s">
        <v>1514</v>
      </c>
      <c r="H77" s="13" t="s">
        <v>1527</v>
      </c>
      <c r="I77" s="13" t="s">
        <v>1009</v>
      </c>
    </row>
    <row r="78" spans="1:9" ht="42">
      <c r="A78" s="58">
        <v>48</v>
      </c>
      <c r="B78" s="12" t="s">
        <v>2736</v>
      </c>
      <c r="C78" s="64" t="s">
        <v>2737</v>
      </c>
      <c r="D78" s="59" t="s">
        <v>2735</v>
      </c>
      <c r="F78" s="13" t="s">
        <v>1010</v>
      </c>
      <c r="G78" s="13" t="s">
        <v>1524</v>
      </c>
      <c r="H78" s="13" t="s">
        <v>1514</v>
      </c>
      <c r="I78" s="13" t="s">
        <v>1009</v>
      </c>
    </row>
    <row r="79" spans="1:9" ht="42">
      <c r="A79" s="58">
        <v>49</v>
      </c>
      <c r="B79" s="12" t="s">
        <v>2738</v>
      </c>
      <c r="C79" s="64" t="s">
        <v>2739</v>
      </c>
      <c r="D79" s="59" t="s">
        <v>2735</v>
      </c>
      <c r="F79" s="13" t="s">
        <v>1010</v>
      </c>
      <c r="G79" s="13" t="s">
        <v>1514</v>
      </c>
      <c r="H79" s="13" t="s">
        <v>1514</v>
      </c>
      <c r="I79" s="13" t="s">
        <v>1009</v>
      </c>
    </row>
    <row r="80" spans="1:9" ht="56">
      <c r="A80" s="58">
        <v>50</v>
      </c>
      <c r="B80" s="12" t="s">
        <v>2740</v>
      </c>
      <c r="C80" s="64" t="s">
        <v>2741</v>
      </c>
      <c r="D80" s="59" t="s">
        <v>2735</v>
      </c>
      <c r="F80" s="13" t="s">
        <v>1010</v>
      </c>
      <c r="G80" s="13" t="s">
        <v>1514</v>
      </c>
      <c r="H80" s="13" t="s">
        <v>1527</v>
      </c>
      <c r="I80" s="13" t="s">
        <v>1009</v>
      </c>
    </row>
    <row r="81" spans="1:9" ht="28">
      <c r="A81" s="58">
        <v>51</v>
      </c>
      <c r="B81" s="12" t="s">
        <v>2742</v>
      </c>
      <c r="C81" s="64" t="s">
        <v>2743</v>
      </c>
      <c r="D81" s="59" t="s">
        <v>2735</v>
      </c>
      <c r="F81" s="13" t="s">
        <v>1010</v>
      </c>
      <c r="G81" s="13" t="s">
        <v>1514</v>
      </c>
      <c r="H81" s="34"/>
      <c r="I81" s="13" t="s">
        <v>1009</v>
      </c>
    </row>
    <row r="82" spans="1:9">
      <c r="D82" s="59" t="s">
        <v>2735</v>
      </c>
      <c r="E82" s="35" t="s">
        <v>95</v>
      </c>
      <c r="F82" s="35">
        <f>COUNTA(F77:F81)</f>
        <v>5</v>
      </c>
    </row>
    <row r="232" spans="2:2">
      <c r="B232" s="13" t="s">
        <v>2735</v>
      </c>
    </row>
  </sheetData>
  <hyperlinks>
    <hyperlink ref="A45" r:id="rId1" display="http://www.westlaw.com/Find/Default.wl?rs=dfa1.0&amp;vr=2.0&amp;DB=506&amp;FindType=Y&amp;SerialNum=1998197668"/>
    <hyperlink ref="A77" r:id="rId2" display="http://www.westlaw.com/Find/Default.wl?rs=dfa1.0&amp;vr=2.0&amp;DB=506&amp;FindType=Y&amp;SerialNum=1998189707"/>
    <hyperlink ref="A48" r:id="rId3" display="http://www.westlaw.com/Find/Default.wl?rs=dfa1.0&amp;vr=2.0&amp;DB=506&amp;FindType=Y&amp;SerialNum=1998186788"/>
    <hyperlink ref="A49" r:id="rId4" display="http://www.westlaw.com/Find/Default.wl?rs=dfa1.0&amp;vr=2.0&amp;DB=506&amp;FindType=Y&amp;SerialNum=1998186789"/>
    <hyperlink ref="A20" r:id="rId5" display="http://www.westlaw.com/Find/Default.wl?rs=dfa1.0&amp;vr=2.0&amp;DB=506&amp;FindType=Y&amp;SerialNum=1998177593"/>
    <hyperlink ref="A50" r:id="rId6" display="http://www.westlaw.com/Find/Default.wl?rs=dfa1.0&amp;vr=2.0&amp;DB=506&amp;FindType=Y&amp;SerialNum=1998177657"/>
    <hyperlink ref="A51" r:id="rId7" display="http://www.westlaw.com/Find/Default.wl?rs=dfa1.0&amp;vr=2.0&amp;DB=506&amp;FindType=Y&amp;SerialNum=1998173031"/>
    <hyperlink ref="A21" r:id="rId8" display="http://www.westlaw.com/Find/Default.wl?rs=dfa1.0&amp;vr=2.0&amp;DB=506&amp;FindType=Y&amp;SerialNum=1998166790"/>
    <hyperlink ref="A52" r:id="rId9" display="http://www.westlaw.com/Find/Default.wl?rs=dfa1.0&amp;vr=2.0&amp;DB=506&amp;FindType=Y&amp;SerialNum=1998166422"/>
    <hyperlink ref="A53" r:id="rId10" display="http://www.westlaw.com/Find/Default.wl?rs=dfa1.0&amp;vr=2.0&amp;DB=506&amp;FindType=Y&amp;SerialNum=1998160204"/>
    <hyperlink ref="A54" r:id="rId11" display="http://www.westlaw.com/Find/Default.wl?rs=dfa1.0&amp;vr=2.0&amp;DB=506&amp;FindType=Y&amp;SerialNum=1998160210"/>
    <hyperlink ref="A55" r:id="rId12" display="http://www.westlaw.com/Find/Default.wl?rs=dfa1.0&amp;vr=2.0&amp;DB=506&amp;FindType=Y&amp;SerialNum=1998212275"/>
    <hyperlink ref="A31" r:id="rId13" display="http://www.westlaw.com/Find/Default.wl?rs=dfa1.0&amp;vr=2.0&amp;DB=506&amp;FindType=Y&amp;SerialNum=1998153539"/>
    <hyperlink ref="A22" r:id="rId14" display="http://www.westlaw.com/Find/Default.wl?rs=dfa1.0&amp;vr=2.0&amp;DB=506&amp;FindType=Y&amp;SerialNum=1998153559"/>
    <hyperlink ref="A23" r:id="rId15" display="http://www.westlaw.com/Find/Default.wl?rs=dfa1.0&amp;vr=2.0&amp;DB=506&amp;FindType=Y&amp;SerialNum=1998148858"/>
    <hyperlink ref="A56" r:id="rId16" display="http://www.westlaw.com/Find/Default.wl?rs=dfa1.0&amp;vr=2.0&amp;DB=506&amp;FindType=Y&amp;SerialNum=1998141790"/>
    <hyperlink ref="A24" r:id="rId17" display="http://www.westlaw.com/Find/Default.wl?rs=dfa1.0&amp;vr=2.0&amp;DB=506&amp;FindType=Y&amp;SerialNum=1998141791"/>
    <hyperlink ref="A57" r:id="rId18" display="http://www.westlaw.com/Find/Default.wl?rs=dfa1.0&amp;vr=2.0&amp;DB=506&amp;FindType=Y&amp;SerialNum=1998141796"/>
    <hyperlink ref="A25" r:id="rId19" display="http://www.westlaw.com/Find/Default.wl?rs=dfa1.0&amp;vr=2.0&amp;DB=506&amp;FindType=Y&amp;SerialNum=1998133337"/>
    <hyperlink ref="A58" r:id="rId20" display="http://www.westlaw.com/Find/Default.wl?rs=dfa1.0&amp;vr=2.0&amp;DB=506&amp;FindType=Y&amp;SerialNum=1998122709"/>
    <hyperlink ref="A26" r:id="rId21" display="http://www.westlaw.com/Find/Default.wl?rs=dfa1.0&amp;vr=2.0&amp;DB=506&amp;FindType=Y&amp;SerialNum=1998122775"/>
    <hyperlink ref="A33" r:id="rId22" display="http://www.westlaw.com/Find/Default.wl?rs=dfa1.0&amp;vr=2.0&amp;DB=506&amp;FindType=Y&amp;SerialNum=1998122055"/>
    <hyperlink ref="A27" r:id="rId23" display="http://www.westlaw.com/Find/Default.wl?rs=dfa1.0&amp;vr=2.0&amp;DB=506&amp;FindType=Y&amp;SerialNum=1998122058"/>
    <hyperlink ref="A59" r:id="rId24" display="http://www.westlaw.com/Find/Default.wl?rs=dfa1.0&amp;vr=2.0&amp;DB=506&amp;FindType=Y&amp;SerialNum=1998118195"/>
    <hyperlink ref="A60" r:id="rId25" display="http://www.westlaw.com/Find/Default.wl?rs=dfa1.0&amp;vr=2.0&amp;DB=506&amp;FindType=Y&amp;SerialNum=1998115006"/>
    <hyperlink ref="A40" r:id="rId26" display="http://www.westlaw.com/Find/Default.wl?rs=dfa1.0&amp;vr=2.0&amp;DB=506&amp;FindType=Y&amp;SerialNum=1998112775"/>
    <hyperlink ref="A61" r:id="rId27" display="http://www.westlaw.com/Find/Default.wl?rs=dfa1.0&amp;vr=2.0&amp;DB=506&amp;FindType=Y&amp;SerialNum=1998106582"/>
    <hyperlink ref="A62" r:id="rId28" display="http://www.westlaw.com/Find/Default.wl?rs=dfa1.0&amp;vr=2.0&amp;DB=506&amp;FindType=Y&amp;SerialNum=1998109242"/>
    <hyperlink ref="A63" r:id="rId29" display="http://www.westlaw.com/Find/Default.wl?rs=dfa1.0&amp;vr=2.0&amp;DB=506&amp;FindType=Y&amp;SerialNum=1998098470"/>
    <hyperlink ref="A64" r:id="rId30" display="http://www.westlaw.com/Find/Default.wl?rs=dfa1.0&amp;vr=2.0&amp;DB=506&amp;FindType=Y&amp;SerialNum=1998094139"/>
    <hyperlink ref="A65" r:id="rId31" display="http://www.westlaw.com/Find/Default.wl?rs=dfa1.0&amp;vr=2.0&amp;DB=506&amp;FindType=Y&amp;SerialNum=1998085817"/>
    <hyperlink ref="A41" r:id="rId32" display="http://www.westlaw.com/Find/Default.wl?rs=dfa1.0&amp;vr=2.0&amp;DB=506&amp;FindType=Y&amp;SerialNum=1998071499"/>
    <hyperlink ref="A66" r:id="rId33" display="http://www.westlaw.com/Find/Default.wl?rs=dfa1.0&amp;vr=2.0&amp;DB=506&amp;FindType=Y&amp;SerialNum=1998065524"/>
    <hyperlink ref="A67" r:id="rId34" display="http://www.westlaw.com/Find/Default.wl?rs=dfa1.0&amp;vr=2.0&amp;DB=506&amp;FindType=Y&amp;SerialNum=1998064888"/>
    <hyperlink ref="A68" r:id="rId35" display="http://www.westlaw.com/Find/Default.wl?rs=dfa1.0&amp;vr=2.0&amp;DB=506&amp;FindType=Y&amp;SerialNum=1998060570"/>
    <hyperlink ref="A69" r:id="rId36" display="http://www.westlaw.com/Find/Default.wl?rs=dfa1.0&amp;vr=2.0&amp;DB=506&amp;FindType=Y&amp;SerialNum=1998057276"/>
    <hyperlink ref="A44" r:id="rId37" display="http://www.westlaw.com/Find/Default.wl?rs=dfa1.0&amp;vr=2.0&amp;DB=506&amp;FindType=Y&amp;SerialNum=1998034054"/>
    <hyperlink ref="A34" r:id="rId38" display="http://www.westlaw.com/Find/Default.wl?rs=dfa1.0&amp;vr=2.0&amp;DB=506&amp;FindType=Y&amp;SerialNum=1998034064"/>
    <hyperlink ref="A70" r:id="rId39" display="http://www.westlaw.com/Find/Default.wl?rs=dfa1.0&amp;vr=2.0&amp;DB=506&amp;FindType=Y&amp;SerialNum=1998027269"/>
    <hyperlink ref="A71" r:id="rId40" display="http://www.westlaw.com/Find/Default.wl?rs=dfa1.0&amp;vr=2.0&amp;DB=506&amp;FindType=Y&amp;SerialNum=1998026541"/>
    <hyperlink ref="A72" r:id="rId41" display="http://www.westlaw.com/Find/Default.wl?rs=dfa1.0&amp;vr=2.0&amp;DB=506&amp;FindType=Y&amp;SerialNum=1997241004"/>
    <hyperlink ref="A32" r:id="rId42" display="http://www.westlaw.com/Find/Default.wl?rs=dfa1.0&amp;vr=2.0&amp;DB=506&amp;FindType=Y&amp;SerialNum=1997238419"/>
    <hyperlink ref="A73" r:id="rId43" display="http://www.westlaw.com/Find/Default.wl?rs=dfa1.0&amp;vr=2.0&amp;DB=506&amp;FindType=Y&amp;SerialNum=1997226696"/>
    <hyperlink ref="A28" r:id="rId44" display="http://www.westlaw.com/Find/Default.wl?rs=dfa1.0&amp;vr=2.0&amp;DB=506&amp;FindType=Y&amp;SerialNum=1997212512"/>
    <hyperlink ref="A37" r:id="rId45" display="http://www.westlaw.com/Find/Default.wl?rs=dfa1.0&amp;vr=2.0&amp;DB=506&amp;FindType=Y&amp;SerialNum=1997202806"/>
    <hyperlink ref="A78" r:id="rId46" display="http://www.westlaw.com/Find/Default.wl?rs=dfa1.0&amp;vr=2.0&amp;DB=1011&amp;FindType=Y&amp;SerialNum=1998150031"/>
    <hyperlink ref="A79" r:id="rId47" display="http://www.westlaw.com/Find/Default.wl?rs=dfa1.0&amp;vr=2.0&amp;DB=345&amp;FindType=Y&amp;SerialNum=1998043651"/>
    <hyperlink ref="A80" r:id="rId48" display="http://www.westlaw.com/Find/Default.wl?rs=dfa1.0&amp;vr=2.0&amp;DB=164&amp;FindType=Y&amp;SerialNum=1997238101"/>
    <hyperlink ref="A81" r:id="rId49" display="http://www.westlaw.com/Find/Default.wl?rs=dfa1.0&amp;vr=2.0&amp;DB=345&amp;FindType=Y&amp;SerialNum=1997216032"/>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1"/>
  <sheetViews>
    <sheetView zoomScale="70" zoomScaleNormal="70" zoomScalePageLayoutView="70" workbookViewId="0"/>
  </sheetViews>
  <sheetFormatPr baseColWidth="10" defaultColWidth="8.83203125" defaultRowHeight="14" x14ac:dyDescent="0"/>
  <cols>
    <col min="1" max="1" width="17.5" style="13" customWidth="1"/>
    <col min="2" max="2" width="31.5" style="13" customWidth="1"/>
    <col min="3" max="3" width="33.83203125" style="59" customWidth="1"/>
    <col min="4" max="4" width="18.6640625" style="13" customWidth="1"/>
    <col min="5" max="5" width="16.6640625" style="13" customWidth="1"/>
    <col min="6" max="6" width="16.83203125" style="13" customWidth="1"/>
    <col min="7" max="7" width="18.5" style="13" customWidth="1"/>
    <col min="8" max="8" width="18.83203125" style="13" customWidth="1"/>
    <col min="9" max="9" width="17" style="13" customWidth="1"/>
    <col min="10" max="256" width="8.83203125" style="13"/>
    <col min="257" max="257" width="17.5" style="13" customWidth="1"/>
    <col min="258" max="258" width="31.5" style="13" customWidth="1"/>
    <col min="259" max="259" width="33.83203125" style="13" customWidth="1"/>
    <col min="260" max="260" width="18.6640625" style="13" customWidth="1"/>
    <col min="261" max="261" width="16.6640625" style="13" customWidth="1"/>
    <col min="262" max="262" width="16.83203125" style="13" customWidth="1"/>
    <col min="263" max="263" width="18.5" style="13" customWidth="1"/>
    <col min="264" max="264" width="18.83203125" style="13" customWidth="1"/>
    <col min="265" max="265" width="17" style="13" customWidth="1"/>
    <col min="266" max="512" width="8.83203125" style="13"/>
    <col min="513" max="513" width="17.5" style="13" customWidth="1"/>
    <col min="514" max="514" width="31.5" style="13" customWidth="1"/>
    <col min="515" max="515" width="33.83203125" style="13" customWidth="1"/>
    <col min="516" max="516" width="18.6640625" style="13" customWidth="1"/>
    <col min="517" max="517" width="16.6640625" style="13" customWidth="1"/>
    <col min="518" max="518" width="16.83203125" style="13" customWidth="1"/>
    <col min="519" max="519" width="18.5" style="13" customWidth="1"/>
    <col min="520" max="520" width="18.83203125" style="13" customWidth="1"/>
    <col min="521" max="521" width="17" style="13" customWidth="1"/>
    <col min="522" max="768" width="8.83203125" style="13"/>
    <col min="769" max="769" width="17.5" style="13" customWidth="1"/>
    <col min="770" max="770" width="31.5" style="13" customWidth="1"/>
    <col min="771" max="771" width="33.83203125" style="13" customWidth="1"/>
    <col min="772" max="772" width="18.6640625" style="13" customWidth="1"/>
    <col min="773" max="773" width="16.6640625" style="13" customWidth="1"/>
    <col min="774" max="774" width="16.83203125" style="13" customWidth="1"/>
    <col min="775" max="775" width="18.5" style="13" customWidth="1"/>
    <col min="776" max="776" width="18.83203125" style="13" customWidth="1"/>
    <col min="777" max="777" width="17" style="13" customWidth="1"/>
    <col min="778" max="1024" width="8.83203125" style="13"/>
    <col min="1025" max="1025" width="17.5" style="13" customWidth="1"/>
    <col min="1026" max="1026" width="31.5" style="13" customWidth="1"/>
    <col min="1027" max="1027" width="33.83203125" style="13" customWidth="1"/>
    <col min="1028" max="1028" width="18.6640625" style="13" customWidth="1"/>
    <col min="1029" max="1029" width="16.6640625" style="13" customWidth="1"/>
    <col min="1030" max="1030" width="16.83203125" style="13" customWidth="1"/>
    <col min="1031" max="1031" width="18.5" style="13" customWidth="1"/>
    <col min="1032" max="1032" width="18.83203125" style="13" customWidth="1"/>
    <col min="1033" max="1033" width="17" style="13" customWidth="1"/>
    <col min="1034" max="1280" width="8.83203125" style="13"/>
    <col min="1281" max="1281" width="17.5" style="13" customWidth="1"/>
    <col min="1282" max="1282" width="31.5" style="13" customWidth="1"/>
    <col min="1283" max="1283" width="33.83203125" style="13" customWidth="1"/>
    <col min="1284" max="1284" width="18.6640625" style="13" customWidth="1"/>
    <col min="1285" max="1285" width="16.6640625" style="13" customWidth="1"/>
    <col min="1286" max="1286" width="16.83203125" style="13" customWidth="1"/>
    <col min="1287" max="1287" width="18.5" style="13" customWidth="1"/>
    <col min="1288" max="1288" width="18.83203125" style="13" customWidth="1"/>
    <col min="1289" max="1289" width="17" style="13" customWidth="1"/>
    <col min="1290" max="1536" width="8.83203125" style="13"/>
    <col min="1537" max="1537" width="17.5" style="13" customWidth="1"/>
    <col min="1538" max="1538" width="31.5" style="13" customWidth="1"/>
    <col min="1539" max="1539" width="33.83203125" style="13" customWidth="1"/>
    <col min="1540" max="1540" width="18.6640625" style="13" customWidth="1"/>
    <col min="1541" max="1541" width="16.6640625" style="13" customWidth="1"/>
    <col min="1542" max="1542" width="16.83203125" style="13" customWidth="1"/>
    <col min="1543" max="1543" width="18.5" style="13" customWidth="1"/>
    <col min="1544" max="1544" width="18.83203125" style="13" customWidth="1"/>
    <col min="1545" max="1545" width="17" style="13" customWidth="1"/>
    <col min="1546" max="1792" width="8.83203125" style="13"/>
    <col min="1793" max="1793" width="17.5" style="13" customWidth="1"/>
    <col min="1794" max="1794" width="31.5" style="13" customWidth="1"/>
    <col min="1795" max="1795" width="33.83203125" style="13" customWidth="1"/>
    <col min="1796" max="1796" width="18.6640625" style="13" customWidth="1"/>
    <col min="1797" max="1797" width="16.6640625" style="13" customWidth="1"/>
    <col min="1798" max="1798" width="16.83203125" style="13" customWidth="1"/>
    <col min="1799" max="1799" width="18.5" style="13" customWidth="1"/>
    <col min="1800" max="1800" width="18.83203125" style="13" customWidth="1"/>
    <col min="1801" max="1801" width="17" style="13" customWidth="1"/>
    <col min="1802" max="2048" width="8.83203125" style="13"/>
    <col min="2049" max="2049" width="17.5" style="13" customWidth="1"/>
    <col min="2050" max="2050" width="31.5" style="13" customWidth="1"/>
    <col min="2051" max="2051" width="33.83203125" style="13" customWidth="1"/>
    <col min="2052" max="2052" width="18.6640625" style="13" customWidth="1"/>
    <col min="2053" max="2053" width="16.6640625" style="13" customWidth="1"/>
    <col min="2054" max="2054" width="16.83203125" style="13" customWidth="1"/>
    <col min="2055" max="2055" width="18.5" style="13" customWidth="1"/>
    <col min="2056" max="2056" width="18.83203125" style="13" customWidth="1"/>
    <col min="2057" max="2057" width="17" style="13" customWidth="1"/>
    <col min="2058" max="2304" width="8.83203125" style="13"/>
    <col min="2305" max="2305" width="17.5" style="13" customWidth="1"/>
    <col min="2306" max="2306" width="31.5" style="13" customWidth="1"/>
    <col min="2307" max="2307" width="33.83203125" style="13" customWidth="1"/>
    <col min="2308" max="2308" width="18.6640625" style="13" customWidth="1"/>
    <col min="2309" max="2309" width="16.6640625" style="13" customWidth="1"/>
    <col min="2310" max="2310" width="16.83203125" style="13" customWidth="1"/>
    <col min="2311" max="2311" width="18.5" style="13" customWidth="1"/>
    <col min="2312" max="2312" width="18.83203125" style="13" customWidth="1"/>
    <col min="2313" max="2313" width="17" style="13" customWidth="1"/>
    <col min="2314" max="2560" width="8.83203125" style="13"/>
    <col min="2561" max="2561" width="17.5" style="13" customWidth="1"/>
    <col min="2562" max="2562" width="31.5" style="13" customWidth="1"/>
    <col min="2563" max="2563" width="33.83203125" style="13" customWidth="1"/>
    <col min="2564" max="2564" width="18.6640625" style="13" customWidth="1"/>
    <col min="2565" max="2565" width="16.6640625" style="13" customWidth="1"/>
    <col min="2566" max="2566" width="16.83203125" style="13" customWidth="1"/>
    <col min="2567" max="2567" width="18.5" style="13" customWidth="1"/>
    <col min="2568" max="2568" width="18.83203125" style="13" customWidth="1"/>
    <col min="2569" max="2569" width="17" style="13" customWidth="1"/>
    <col min="2570" max="2816" width="8.83203125" style="13"/>
    <col min="2817" max="2817" width="17.5" style="13" customWidth="1"/>
    <col min="2818" max="2818" width="31.5" style="13" customWidth="1"/>
    <col min="2819" max="2819" width="33.83203125" style="13" customWidth="1"/>
    <col min="2820" max="2820" width="18.6640625" style="13" customWidth="1"/>
    <col min="2821" max="2821" width="16.6640625" style="13" customWidth="1"/>
    <col min="2822" max="2822" width="16.83203125" style="13" customWidth="1"/>
    <col min="2823" max="2823" width="18.5" style="13" customWidth="1"/>
    <col min="2824" max="2824" width="18.83203125" style="13" customWidth="1"/>
    <col min="2825" max="2825" width="17" style="13" customWidth="1"/>
    <col min="2826" max="3072" width="8.83203125" style="13"/>
    <col min="3073" max="3073" width="17.5" style="13" customWidth="1"/>
    <col min="3074" max="3074" width="31.5" style="13" customWidth="1"/>
    <col min="3075" max="3075" width="33.83203125" style="13" customWidth="1"/>
    <col min="3076" max="3076" width="18.6640625" style="13" customWidth="1"/>
    <col min="3077" max="3077" width="16.6640625" style="13" customWidth="1"/>
    <col min="3078" max="3078" width="16.83203125" style="13" customWidth="1"/>
    <col min="3079" max="3079" width="18.5" style="13" customWidth="1"/>
    <col min="3080" max="3080" width="18.83203125" style="13" customWidth="1"/>
    <col min="3081" max="3081" width="17" style="13" customWidth="1"/>
    <col min="3082" max="3328" width="8.83203125" style="13"/>
    <col min="3329" max="3329" width="17.5" style="13" customWidth="1"/>
    <col min="3330" max="3330" width="31.5" style="13" customWidth="1"/>
    <col min="3331" max="3331" width="33.83203125" style="13" customWidth="1"/>
    <col min="3332" max="3332" width="18.6640625" style="13" customWidth="1"/>
    <col min="3333" max="3333" width="16.6640625" style="13" customWidth="1"/>
    <col min="3334" max="3334" width="16.83203125" style="13" customWidth="1"/>
    <col min="3335" max="3335" width="18.5" style="13" customWidth="1"/>
    <col min="3336" max="3336" width="18.83203125" style="13" customWidth="1"/>
    <col min="3337" max="3337" width="17" style="13" customWidth="1"/>
    <col min="3338" max="3584" width="8.83203125" style="13"/>
    <col min="3585" max="3585" width="17.5" style="13" customWidth="1"/>
    <col min="3586" max="3586" width="31.5" style="13" customWidth="1"/>
    <col min="3587" max="3587" width="33.83203125" style="13" customWidth="1"/>
    <col min="3588" max="3588" width="18.6640625" style="13" customWidth="1"/>
    <col min="3589" max="3589" width="16.6640625" style="13" customWidth="1"/>
    <col min="3590" max="3590" width="16.83203125" style="13" customWidth="1"/>
    <col min="3591" max="3591" width="18.5" style="13" customWidth="1"/>
    <col min="3592" max="3592" width="18.83203125" style="13" customWidth="1"/>
    <col min="3593" max="3593" width="17" style="13" customWidth="1"/>
    <col min="3594" max="3840" width="8.83203125" style="13"/>
    <col min="3841" max="3841" width="17.5" style="13" customWidth="1"/>
    <col min="3842" max="3842" width="31.5" style="13" customWidth="1"/>
    <col min="3843" max="3843" width="33.83203125" style="13" customWidth="1"/>
    <col min="3844" max="3844" width="18.6640625" style="13" customWidth="1"/>
    <col min="3845" max="3845" width="16.6640625" style="13" customWidth="1"/>
    <col min="3846" max="3846" width="16.83203125" style="13" customWidth="1"/>
    <col min="3847" max="3847" width="18.5" style="13" customWidth="1"/>
    <col min="3848" max="3848" width="18.83203125" style="13" customWidth="1"/>
    <col min="3849" max="3849" width="17" style="13" customWidth="1"/>
    <col min="3850" max="4096" width="8.83203125" style="13"/>
    <col min="4097" max="4097" width="17.5" style="13" customWidth="1"/>
    <col min="4098" max="4098" width="31.5" style="13" customWidth="1"/>
    <col min="4099" max="4099" width="33.83203125" style="13" customWidth="1"/>
    <col min="4100" max="4100" width="18.6640625" style="13" customWidth="1"/>
    <col min="4101" max="4101" width="16.6640625" style="13" customWidth="1"/>
    <col min="4102" max="4102" width="16.83203125" style="13" customWidth="1"/>
    <col min="4103" max="4103" width="18.5" style="13" customWidth="1"/>
    <col min="4104" max="4104" width="18.83203125" style="13" customWidth="1"/>
    <col min="4105" max="4105" width="17" style="13" customWidth="1"/>
    <col min="4106" max="4352" width="8.83203125" style="13"/>
    <col min="4353" max="4353" width="17.5" style="13" customWidth="1"/>
    <col min="4354" max="4354" width="31.5" style="13" customWidth="1"/>
    <col min="4355" max="4355" width="33.83203125" style="13" customWidth="1"/>
    <col min="4356" max="4356" width="18.6640625" style="13" customWidth="1"/>
    <col min="4357" max="4357" width="16.6640625" style="13" customWidth="1"/>
    <col min="4358" max="4358" width="16.83203125" style="13" customWidth="1"/>
    <col min="4359" max="4359" width="18.5" style="13" customWidth="1"/>
    <col min="4360" max="4360" width="18.83203125" style="13" customWidth="1"/>
    <col min="4361" max="4361" width="17" style="13" customWidth="1"/>
    <col min="4362" max="4608" width="8.83203125" style="13"/>
    <col min="4609" max="4609" width="17.5" style="13" customWidth="1"/>
    <col min="4610" max="4610" width="31.5" style="13" customWidth="1"/>
    <col min="4611" max="4611" width="33.83203125" style="13" customWidth="1"/>
    <col min="4612" max="4612" width="18.6640625" style="13" customWidth="1"/>
    <col min="4613" max="4613" width="16.6640625" style="13" customWidth="1"/>
    <col min="4614" max="4614" width="16.83203125" style="13" customWidth="1"/>
    <col min="4615" max="4615" width="18.5" style="13" customWidth="1"/>
    <col min="4616" max="4616" width="18.83203125" style="13" customWidth="1"/>
    <col min="4617" max="4617" width="17" style="13" customWidth="1"/>
    <col min="4618" max="4864" width="8.83203125" style="13"/>
    <col min="4865" max="4865" width="17.5" style="13" customWidth="1"/>
    <col min="4866" max="4866" width="31.5" style="13" customWidth="1"/>
    <col min="4867" max="4867" width="33.83203125" style="13" customWidth="1"/>
    <col min="4868" max="4868" width="18.6640625" style="13" customWidth="1"/>
    <col min="4869" max="4869" width="16.6640625" style="13" customWidth="1"/>
    <col min="4870" max="4870" width="16.83203125" style="13" customWidth="1"/>
    <col min="4871" max="4871" width="18.5" style="13" customWidth="1"/>
    <col min="4872" max="4872" width="18.83203125" style="13" customWidth="1"/>
    <col min="4873" max="4873" width="17" style="13" customWidth="1"/>
    <col min="4874" max="5120" width="8.83203125" style="13"/>
    <col min="5121" max="5121" width="17.5" style="13" customWidth="1"/>
    <col min="5122" max="5122" width="31.5" style="13" customWidth="1"/>
    <col min="5123" max="5123" width="33.83203125" style="13" customWidth="1"/>
    <col min="5124" max="5124" width="18.6640625" style="13" customWidth="1"/>
    <col min="5125" max="5125" width="16.6640625" style="13" customWidth="1"/>
    <col min="5126" max="5126" width="16.83203125" style="13" customWidth="1"/>
    <col min="5127" max="5127" width="18.5" style="13" customWidth="1"/>
    <col min="5128" max="5128" width="18.83203125" style="13" customWidth="1"/>
    <col min="5129" max="5129" width="17" style="13" customWidth="1"/>
    <col min="5130" max="5376" width="8.83203125" style="13"/>
    <col min="5377" max="5377" width="17.5" style="13" customWidth="1"/>
    <col min="5378" max="5378" width="31.5" style="13" customWidth="1"/>
    <col min="5379" max="5379" width="33.83203125" style="13" customWidth="1"/>
    <col min="5380" max="5380" width="18.6640625" style="13" customWidth="1"/>
    <col min="5381" max="5381" width="16.6640625" style="13" customWidth="1"/>
    <col min="5382" max="5382" width="16.83203125" style="13" customWidth="1"/>
    <col min="5383" max="5383" width="18.5" style="13" customWidth="1"/>
    <col min="5384" max="5384" width="18.83203125" style="13" customWidth="1"/>
    <col min="5385" max="5385" width="17" style="13" customWidth="1"/>
    <col min="5386" max="5632" width="8.83203125" style="13"/>
    <col min="5633" max="5633" width="17.5" style="13" customWidth="1"/>
    <col min="5634" max="5634" width="31.5" style="13" customWidth="1"/>
    <col min="5635" max="5635" width="33.83203125" style="13" customWidth="1"/>
    <col min="5636" max="5636" width="18.6640625" style="13" customWidth="1"/>
    <col min="5637" max="5637" width="16.6640625" style="13" customWidth="1"/>
    <col min="5638" max="5638" width="16.83203125" style="13" customWidth="1"/>
    <col min="5639" max="5639" width="18.5" style="13" customWidth="1"/>
    <col min="5640" max="5640" width="18.83203125" style="13" customWidth="1"/>
    <col min="5641" max="5641" width="17" style="13" customWidth="1"/>
    <col min="5642" max="5888" width="8.83203125" style="13"/>
    <col min="5889" max="5889" width="17.5" style="13" customWidth="1"/>
    <col min="5890" max="5890" width="31.5" style="13" customWidth="1"/>
    <col min="5891" max="5891" width="33.83203125" style="13" customWidth="1"/>
    <col min="5892" max="5892" width="18.6640625" style="13" customWidth="1"/>
    <col min="5893" max="5893" width="16.6640625" style="13" customWidth="1"/>
    <col min="5894" max="5894" width="16.83203125" style="13" customWidth="1"/>
    <col min="5895" max="5895" width="18.5" style="13" customWidth="1"/>
    <col min="5896" max="5896" width="18.83203125" style="13" customWidth="1"/>
    <col min="5897" max="5897" width="17" style="13" customWidth="1"/>
    <col min="5898" max="6144" width="8.83203125" style="13"/>
    <col min="6145" max="6145" width="17.5" style="13" customWidth="1"/>
    <col min="6146" max="6146" width="31.5" style="13" customWidth="1"/>
    <col min="6147" max="6147" width="33.83203125" style="13" customWidth="1"/>
    <col min="6148" max="6148" width="18.6640625" style="13" customWidth="1"/>
    <col min="6149" max="6149" width="16.6640625" style="13" customWidth="1"/>
    <col min="6150" max="6150" width="16.83203125" style="13" customWidth="1"/>
    <col min="6151" max="6151" width="18.5" style="13" customWidth="1"/>
    <col min="6152" max="6152" width="18.83203125" style="13" customWidth="1"/>
    <col min="6153" max="6153" width="17" style="13" customWidth="1"/>
    <col min="6154" max="6400" width="8.83203125" style="13"/>
    <col min="6401" max="6401" width="17.5" style="13" customWidth="1"/>
    <col min="6402" max="6402" width="31.5" style="13" customWidth="1"/>
    <col min="6403" max="6403" width="33.83203125" style="13" customWidth="1"/>
    <col min="6404" max="6404" width="18.6640625" style="13" customWidth="1"/>
    <col min="6405" max="6405" width="16.6640625" style="13" customWidth="1"/>
    <col min="6406" max="6406" width="16.83203125" style="13" customWidth="1"/>
    <col min="6407" max="6407" width="18.5" style="13" customWidth="1"/>
    <col min="6408" max="6408" width="18.83203125" style="13" customWidth="1"/>
    <col min="6409" max="6409" width="17" style="13" customWidth="1"/>
    <col min="6410" max="6656" width="8.83203125" style="13"/>
    <col min="6657" max="6657" width="17.5" style="13" customWidth="1"/>
    <col min="6658" max="6658" width="31.5" style="13" customWidth="1"/>
    <col min="6659" max="6659" width="33.83203125" style="13" customWidth="1"/>
    <col min="6660" max="6660" width="18.6640625" style="13" customWidth="1"/>
    <col min="6661" max="6661" width="16.6640625" style="13" customWidth="1"/>
    <col min="6662" max="6662" width="16.83203125" style="13" customWidth="1"/>
    <col min="6663" max="6663" width="18.5" style="13" customWidth="1"/>
    <col min="6664" max="6664" width="18.83203125" style="13" customWidth="1"/>
    <col min="6665" max="6665" width="17" style="13" customWidth="1"/>
    <col min="6666" max="6912" width="8.83203125" style="13"/>
    <col min="6913" max="6913" width="17.5" style="13" customWidth="1"/>
    <col min="6914" max="6914" width="31.5" style="13" customWidth="1"/>
    <col min="6915" max="6915" width="33.83203125" style="13" customWidth="1"/>
    <col min="6916" max="6916" width="18.6640625" style="13" customWidth="1"/>
    <col min="6917" max="6917" width="16.6640625" style="13" customWidth="1"/>
    <col min="6918" max="6918" width="16.83203125" style="13" customWidth="1"/>
    <col min="6919" max="6919" width="18.5" style="13" customWidth="1"/>
    <col min="6920" max="6920" width="18.83203125" style="13" customWidth="1"/>
    <col min="6921" max="6921" width="17" style="13" customWidth="1"/>
    <col min="6922" max="7168" width="8.83203125" style="13"/>
    <col min="7169" max="7169" width="17.5" style="13" customWidth="1"/>
    <col min="7170" max="7170" width="31.5" style="13" customWidth="1"/>
    <col min="7171" max="7171" width="33.83203125" style="13" customWidth="1"/>
    <col min="7172" max="7172" width="18.6640625" style="13" customWidth="1"/>
    <col min="7173" max="7173" width="16.6640625" style="13" customWidth="1"/>
    <col min="7174" max="7174" width="16.83203125" style="13" customWidth="1"/>
    <col min="7175" max="7175" width="18.5" style="13" customWidth="1"/>
    <col min="7176" max="7176" width="18.83203125" style="13" customWidth="1"/>
    <col min="7177" max="7177" width="17" style="13" customWidth="1"/>
    <col min="7178" max="7424" width="8.83203125" style="13"/>
    <col min="7425" max="7425" width="17.5" style="13" customWidth="1"/>
    <col min="7426" max="7426" width="31.5" style="13" customWidth="1"/>
    <col min="7427" max="7427" width="33.83203125" style="13" customWidth="1"/>
    <col min="7428" max="7428" width="18.6640625" style="13" customWidth="1"/>
    <col min="7429" max="7429" width="16.6640625" style="13" customWidth="1"/>
    <col min="7430" max="7430" width="16.83203125" style="13" customWidth="1"/>
    <col min="7431" max="7431" width="18.5" style="13" customWidth="1"/>
    <col min="7432" max="7432" width="18.83203125" style="13" customWidth="1"/>
    <col min="7433" max="7433" width="17" style="13" customWidth="1"/>
    <col min="7434" max="7680" width="8.83203125" style="13"/>
    <col min="7681" max="7681" width="17.5" style="13" customWidth="1"/>
    <col min="7682" max="7682" width="31.5" style="13" customWidth="1"/>
    <col min="7683" max="7683" width="33.83203125" style="13" customWidth="1"/>
    <col min="7684" max="7684" width="18.6640625" style="13" customWidth="1"/>
    <col min="7685" max="7685" width="16.6640625" style="13" customWidth="1"/>
    <col min="7686" max="7686" width="16.83203125" style="13" customWidth="1"/>
    <col min="7687" max="7687" width="18.5" style="13" customWidth="1"/>
    <col min="7688" max="7688" width="18.83203125" style="13" customWidth="1"/>
    <col min="7689" max="7689" width="17" style="13" customWidth="1"/>
    <col min="7690" max="7936" width="8.83203125" style="13"/>
    <col min="7937" max="7937" width="17.5" style="13" customWidth="1"/>
    <col min="7938" max="7938" width="31.5" style="13" customWidth="1"/>
    <col min="7939" max="7939" width="33.83203125" style="13" customWidth="1"/>
    <col min="7940" max="7940" width="18.6640625" style="13" customWidth="1"/>
    <col min="7941" max="7941" width="16.6640625" style="13" customWidth="1"/>
    <col min="7942" max="7942" width="16.83203125" style="13" customWidth="1"/>
    <col min="7943" max="7943" width="18.5" style="13" customWidth="1"/>
    <col min="7944" max="7944" width="18.83203125" style="13" customWidth="1"/>
    <col min="7945" max="7945" width="17" style="13" customWidth="1"/>
    <col min="7946" max="8192" width="8.83203125" style="13"/>
    <col min="8193" max="8193" width="17.5" style="13" customWidth="1"/>
    <col min="8194" max="8194" width="31.5" style="13" customWidth="1"/>
    <col min="8195" max="8195" width="33.83203125" style="13" customWidth="1"/>
    <col min="8196" max="8196" width="18.6640625" style="13" customWidth="1"/>
    <col min="8197" max="8197" width="16.6640625" style="13" customWidth="1"/>
    <col min="8198" max="8198" width="16.83203125" style="13" customWidth="1"/>
    <col min="8199" max="8199" width="18.5" style="13" customWidth="1"/>
    <col min="8200" max="8200" width="18.83203125" style="13" customWidth="1"/>
    <col min="8201" max="8201" width="17" style="13" customWidth="1"/>
    <col min="8202" max="8448" width="8.83203125" style="13"/>
    <col min="8449" max="8449" width="17.5" style="13" customWidth="1"/>
    <col min="8450" max="8450" width="31.5" style="13" customWidth="1"/>
    <col min="8451" max="8451" width="33.83203125" style="13" customWidth="1"/>
    <col min="8452" max="8452" width="18.6640625" style="13" customWidth="1"/>
    <col min="8453" max="8453" width="16.6640625" style="13" customWidth="1"/>
    <col min="8454" max="8454" width="16.83203125" style="13" customWidth="1"/>
    <col min="8455" max="8455" width="18.5" style="13" customWidth="1"/>
    <col min="8456" max="8456" width="18.83203125" style="13" customWidth="1"/>
    <col min="8457" max="8457" width="17" style="13" customWidth="1"/>
    <col min="8458" max="8704" width="8.83203125" style="13"/>
    <col min="8705" max="8705" width="17.5" style="13" customWidth="1"/>
    <col min="8706" max="8706" width="31.5" style="13" customWidth="1"/>
    <col min="8707" max="8707" width="33.83203125" style="13" customWidth="1"/>
    <col min="8708" max="8708" width="18.6640625" style="13" customWidth="1"/>
    <col min="8709" max="8709" width="16.6640625" style="13" customWidth="1"/>
    <col min="8710" max="8710" width="16.83203125" style="13" customWidth="1"/>
    <col min="8711" max="8711" width="18.5" style="13" customWidth="1"/>
    <col min="8712" max="8712" width="18.83203125" style="13" customWidth="1"/>
    <col min="8713" max="8713" width="17" style="13" customWidth="1"/>
    <col min="8714" max="8960" width="8.83203125" style="13"/>
    <col min="8961" max="8961" width="17.5" style="13" customWidth="1"/>
    <col min="8962" max="8962" width="31.5" style="13" customWidth="1"/>
    <col min="8963" max="8963" width="33.83203125" style="13" customWidth="1"/>
    <col min="8964" max="8964" width="18.6640625" style="13" customWidth="1"/>
    <col min="8965" max="8965" width="16.6640625" style="13" customWidth="1"/>
    <col min="8966" max="8966" width="16.83203125" style="13" customWidth="1"/>
    <col min="8967" max="8967" width="18.5" style="13" customWidth="1"/>
    <col min="8968" max="8968" width="18.83203125" style="13" customWidth="1"/>
    <col min="8969" max="8969" width="17" style="13" customWidth="1"/>
    <col min="8970" max="9216" width="8.83203125" style="13"/>
    <col min="9217" max="9217" width="17.5" style="13" customWidth="1"/>
    <col min="9218" max="9218" width="31.5" style="13" customWidth="1"/>
    <col min="9219" max="9219" width="33.83203125" style="13" customWidth="1"/>
    <col min="9220" max="9220" width="18.6640625" style="13" customWidth="1"/>
    <col min="9221" max="9221" width="16.6640625" style="13" customWidth="1"/>
    <col min="9222" max="9222" width="16.83203125" style="13" customWidth="1"/>
    <col min="9223" max="9223" width="18.5" style="13" customWidth="1"/>
    <col min="9224" max="9224" width="18.83203125" style="13" customWidth="1"/>
    <col min="9225" max="9225" width="17" style="13" customWidth="1"/>
    <col min="9226" max="9472" width="8.83203125" style="13"/>
    <col min="9473" max="9473" width="17.5" style="13" customWidth="1"/>
    <col min="9474" max="9474" width="31.5" style="13" customWidth="1"/>
    <col min="9475" max="9475" width="33.83203125" style="13" customWidth="1"/>
    <col min="9476" max="9476" width="18.6640625" style="13" customWidth="1"/>
    <col min="9477" max="9477" width="16.6640625" style="13" customWidth="1"/>
    <col min="9478" max="9478" width="16.83203125" style="13" customWidth="1"/>
    <col min="9479" max="9479" width="18.5" style="13" customWidth="1"/>
    <col min="9480" max="9480" width="18.83203125" style="13" customWidth="1"/>
    <col min="9481" max="9481" width="17" style="13" customWidth="1"/>
    <col min="9482" max="9728" width="8.83203125" style="13"/>
    <col min="9729" max="9729" width="17.5" style="13" customWidth="1"/>
    <col min="9730" max="9730" width="31.5" style="13" customWidth="1"/>
    <col min="9731" max="9731" width="33.83203125" style="13" customWidth="1"/>
    <col min="9732" max="9732" width="18.6640625" style="13" customWidth="1"/>
    <col min="9733" max="9733" width="16.6640625" style="13" customWidth="1"/>
    <col min="9734" max="9734" width="16.83203125" style="13" customWidth="1"/>
    <col min="9735" max="9735" width="18.5" style="13" customWidth="1"/>
    <col min="9736" max="9736" width="18.83203125" style="13" customWidth="1"/>
    <col min="9737" max="9737" width="17" style="13" customWidth="1"/>
    <col min="9738" max="9984" width="8.83203125" style="13"/>
    <col min="9985" max="9985" width="17.5" style="13" customWidth="1"/>
    <col min="9986" max="9986" width="31.5" style="13" customWidth="1"/>
    <col min="9987" max="9987" width="33.83203125" style="13" customWidth="1"/>
    <col min="9988" max="9988" width="18.6640625" style="13" customWidth="1"/>
    <col min="9989" max="9989" width="16.6640625" style="13" customWidth="1"/>
    <col min="9990" max="9990" width="16.83203125" style="13" customWidth="1"/>
    <col min="9991" max="9991" width="18.5" style="13" customWidth="1"/>
    <col min="9992" max="9992" width="18.83203125" style="13" customWidth="1"/>
    <col min="9993" max="9993" width="17" style="13" customWidth="1"/>
    <col min="9994" max="10240" width="8.83203125" style="13"/>
    <col min="10241" max="10241" width="17.5" style="13" customWidth="1"/>
    <col min="10242" max="10242" width="31.5" style="13" customWidth="1"/>
    <col min="10243" max="10243" width="33.83203125" style="13" customWidth="1"/>
    <col min="10244" max="10244" width="18.6640625" style="13" customWidth="1"/>
    <col min="10245" max="10245" width="16.6640625" style="13" customWidth="1"/>
    <col min="10246" max="10246" width="16.83203125" style="13" customWidth="1"/>
    <col min="10247" max="10247" width="18.5" style="13" customWidth="1"/>
    <col min="10248" max="10248" width="18.83203125" style="13" customWidth="1"/>
    <col min="10249" max="10249" width="17" style="13" customWidth="1"/>
    <col min="10250" max="10496" width="8.83203125" style="13"/>
    <col min="10497" max="10497" width="17.5" style="13" customWidth="1"/>
    <col min="10498" max="10498" width="31.5" style="13" customWidth="1"/>
    <col min="10499" max="10499" width="33.83203125" style="13" customWidth="1"/>
    <col min="10500" max="10500" width="18.6640625" style="13" customWidth="1"/>
    <col min="10501" max="10501" width="16.6640625" style="13" customWidth="1"/>
    <col min="10502" max="10502" width="16.83203125" style="13" customWidth="1"/>
    <col min="10503" max="10503" width="18.5" style="13" customWidth="1"/>
    <col min="10504" max="10504" width="18.83203125" style="13" customWidth="1"/>
    <col min="10505" max="10505" width="17" style="13" customWidth="1"/>
    <col min="10506" max="10752" width="8.83203125" style="13"/>
    <col min="10753" max="10753" width="17.5" style="13" customWidth="1"/>
    <col min="10754" max="10754" width="31.5" style="13" customWidth="1"/>
    <col min="10755" max="10755" width="33.83203125" style="13" customWidth="1"/>
    <col min="10756" max="10756" width="18.6640625" style="13" customWidth="1"/>
    <col min="10757" max="10757" width="16.6640625" style="13" customWidth="1"/>
    <col min="10758" max="10758" width="16.83203125" style="13" customWidth="1"/>
    <col min="10759" max="10759" width="18.5" style="13" customWidth="1"/>
    <col min="10760" max="10760" width="18.83203125" style="13" customWidth="1"/>
    <col min="10761" max="10761" width="17" style="13" customWidth="1"/>
    <col min="10762" max="11008" width="8.83203125" style="13"/>
    <col min="11009" max="11009" width="17.5" style="13" customWidth="1"/>
    <col min="11010" max="11010" width="31.5" style="13" customWidth="1"/>
    <col min="11011" max="11011" width="33.83203125" style="13" customWidth="1"/>
    <col min="11012" max="11012" width="18.6640625" style="13" customWidth="1"/>
    <col min="11013" max="11013" width="16.6640625" style="13" customWidth="1"/>
    <col min="11014" max="11014" width="16.83203125" style="13" customWidth="1"/>
    <col min="11015" max="11015" width="18.5" style="13" customWidth="1"/>
    <col min="11016" max="11016" width="18.83203125" style="13" customWidth="1"/>
    <col min="11017" max="11017" width="17" style="13" customWidth="1"/>
    <col min="11018" max="11264" width="8.83203125" style="13"/>
    <col min="11265" max="11265" width="17.5" style="13" customWidth="1"/>
    <col min="11266" max="11266" width="31.5" style="13" customWidth="1"/>
    <col min="11267" max="11267" width="33.83203125" style="13" customWidth="1"/>
    <col min="11268" max="11268" width="18.6640625" style="13" customWidth="1"/>
    <col min="11269" max="11269" width="16.6640625" style="13" customWidth="1"/>
    <col min="11270" max="11270" width="16.83203125" style="13" customWidth="1"/>
    <col min="11271" max="11271" width="18.5" style="13" customWidth="1"/>
    <col min="11272" max="11272" width="18.83203125" style="13" customWidth="1"/>
    <col min="11273" max="11273" width="17" style="13" customWidth="1"/>
    <col min="11274" max="11520" width="8.83203125" style="13"/>
    <col min="11521" max="11521" width="17.5" style="13" customWidth="1"/>
    <col min="11522" max="11522" width="31.5" style="13" customWidth="1"/>
    <col min="11523" max="11523" width="33.83203125" style="13" customWidth="1"/>
    <col min="11524" max="11524" width="18.6640625" style="13" customWidth="1"/>
    <col min="11525" max="11525" width="16.6640625" style="13" customWidth="1"/>
    <col min="11526" max="11526" width="16.83203125" style="13" customWidth="1"/>
    <col min="11527" max="11527" width="18.5" style="13" customWidth="1"/>
    <col min="11528" max="11528" width="18.83203125" style="13" customWidth="1"/>
    <col min="11529" max="11529" width="17" style="13" customWidth="1"/>
    <col min="11530" max="11776" width="8.83203125" style="13"/>
    <col min="11777" max="11777" width="17.5" style="13" customWidth="1"/>
    <col min="11778" max="11778" width="31.5" style="13" customWidth="1"/>
    <col min="11779" max="11779" width="33.83203125" style="13" customWidth="1"/>
    <col min="11780" max="11780" width="18.6640625" style="13" customWidth="1"/>
    <col min="11781" max="11781" width="16.6640625" style="13" customWidth="1"/>
    <col min="11782" max="11782" width="16.83203125" style="13" customWidth="1"/>
    <col min="11783" max="11783" width="18.5" style="13" customWidth="1"/>
    <col min="11784" max="11784" width="18.83203125" style="13" customWidth="1"/>
    <col min="11785" max="11785" width="17" style="13" customWidth="1"/>
    <col min="11786" max="12032" width="8.83203125" style="13"/>
    <col min="12033" max="12033" width="17.5" style="13" customWidth="1"/>
    <col min="12034" max="12034" width="31.5" style="13" customWidth="1"/>
    <col min="12035" max="12035" width="33.83203125" style="13" customWidth="1"/>
    <col min="12036" max="12036" width="18.6640625" style="13" customWidth="1"/>
    <col min="12037" max="12037" width="16.6640625" style="13" customWidth="1"/>
    <col min="12038" max="12038" width="16.83203125" style="13" customWidth="1"/>
    <col min="12039" max="12039" width="18.5" style="13" customWidth="1"/>
    <col min="12040" max="12040" width="18.83203125" style="13" customWidth="1"/>
    <col min="12041" max="12041" width="17" style="13" customWidth="1"/>
    <col min="12042" max="12288" width="8.83203125" style="13"/>
    <col min="12289" max="12289" width="17.5" style="13" customWidth="1"/>
    <col min="12290" max="12290" width="31.5" style="13" customWidth="1"/>
    <col min="12291" max="12291" width="33.83203125" style="13" customWidth="1"/>
    <col min="12292" max="12292" width="18.6640625" style="13" customWidth="1"/>
    <col min="12293" max="12293" width="16.6640625" style="13" customWidth="1"/>
    <col min="12294" max="12294" width="16.83203125" style="13" customWidth="1"/>
    <col min="12295" max="12295" width="18.5" style="13" customWidth="1"/>
    <col min="12296" max="12296" width="18.83203125" style="13" customWidth="1"/>
    <col min="12297" max="12297" width="17" style="13" customWidth="1"/>
    <col min="12298" max="12544" width="8.83203125" style="13"/>
    <col min="12545" max="12545" width="17.5" style="13" customWidth="1"/>
    <col min="12546" max="12546" width="31.5" style="13" customWidth="1"/>
    <col min="12547" max="12547" width="33.83203125" style="13" customWidth="1"/>
    <col min="12548" max="12548" width="18.6640625" style="13" customWidth="1"/>
    <col min="12549" max="12549" width="16.6640625" style="13" customWidth="1"/>
    <col min="12550" max="12550" width="16.83203125" style="13" customWidth="1"/>
    <col min="12551" max="12551" width="18.5" style="13" customWidth="1"/>
    <col min="12552" max="12552" width="18.83203125" style="13" customWidth="1"/>
    <col min="12553" max="12553" width="17" style="13" customWidth="1"/>
    <col min="12554" max="12800" width="8.83203125" style="13"/>
    <col min="12801" max="12801" width="17.5" style="13" customWidth="1"/>
    <col min="12802" max="12802" width="31.5" style="13" customWidth="1"/>
    <col min="12803" max="12803" width="33.83203125" style="13" customWidth="1"/>
    <col min="12804" max="12804" width="18.6640625" style="13" customWidth="1"/>
    <col min="12805" max="12805" width="16.6640625" style="13" customWidth="1"/>
    <col min="12806" max="12806" width="16.83203125" style="13" customWidth="1"/>
    <col min="12807" max="12807" width="18.5" style="13" customWidth="1"/>
    <col min="12808" max="12808" width="18.83203125" style="13" customWidth="1"/>
    <col min="12809" max="12809" width="17" style="13" customWidth="1"/>
    <col min="12810" max="13056" width="8.83203125" style="13"/>
    <col min="13057" max="13057" width="17.5" style="13" customWidth="1"/>
    <col min="13058" max="13058" width="31.5" style="13" customWidth="1"/>
    <col min="13059" max="13059" width="33.83203125" style="13" customWidth="1"/>
    <col min="13060" max="13060" width="18.6640625" style="13" customWidth="1"/>
    <col min="13061" max="13061" width="16.6640625" style="13" customWidth="1"/>
    <col min="13062" max="13062" width="16.83203125" style="13" customWidth="1"/>
    <col min="13063" max="13063" width="18.5" style="13" customWidth="1"/>
    <col min="13064" max="13064" width="18.83203125" style="13" customWidth="1"/>
    <col min="13065" max="13065" width="17" style="13" customWidth="1"/>
    <col min="13066" max="13312" width="8.83203125" style="13"/>
    <col min="13313" max="13313" width="17.5" style="13" customWidth="1"/>
    <col min="13314" max="13314" width="31.5" style="13" customWidth="1"/>
    <col min="13315" max="13315" width="33.83203125" style="13" customWidth="1"/>
    <col min="13316" max="13316" width="18.6640625" style="13" customWidth="1"/>
    <col min="13317" max="13317" width="16.6640625" style="13" customWidth="1"/>
    <col min="13318" max="13318" width="16.83203125" style="13" customWidth="1"/>
    <col min="13319" max="13319" width="18.5" style="13" customWidth="1"/>
    <col min="13320" max="13320" width="18.83203125" style="13" customWidth="1"/>
    <col min="13321" max="13321" width="17" style="13" customWidth="1"/>
    <col min="13322" max="13568" width="8.83203125" style="13"/>
    <col min="13569" max="13569" width="17.5" style="13" customWidth="1"/>
    <col min="13570" max="13570" width="31.5" style="13" customWidth="1"/>
    <col min="13571" max="13571" width="33.83203125" style="13" customWidth="1"/>
    <col min="13572" max="13572" width="18.6640625" style="13" customWidth="1"/>
    <col min="13573" max="13573" width="16.6640625" style="13" customWidth="1"/>
    <col min="13574" max="13574" width="16.83203125" style="13" customWidth="1"/>
    <col min="13575" max="13575" width="18.5" style="13" customWidth="1"/>
    <col min="13576" max="13576" width="18.83203125" style="13" customWidth="1"/>
    <col min="13577" max="13577" width="17" style="13" customWidth="1"/>
    <col min="13578" max="13824" width="8.83203125" style="13"/>
    <col min="13825" max="13825" width="17.5" style="13" customWidth="1"/>
    <col min="13826" max="13826" width="31.5" style="13" customWidth="1"/>
    <col min="13827" max="13827" width="33.83203125" style="13" customWidth="1"/>
    <col min="13828" max="13828" width="18.6640625" style="13" customWidth="1"/>
    <col min="13829" max="13829" width="16.6640625" style="13" customWidth="1"/>
    <col min="13830" max="13830" width="16.83203125" style="13" customWidth="1"/>
    <col min="13831" max="13831" width="18.5" style="13" customWidth="1"/>
    <col min="13832" max="13832" width="18.83203125" style="13" customWidth="1"/>
    <col min="13833" max="13833" width="17" style="13" customWidth="1"/>
    <col min="13834" max="14080" width="8.83203125" style="13"/>
    <col min="14081" max="14081" width="17.5" style="13" customWidth="1"/>
    <col min="14082" max="14082" width="31.5" style="13" customWidth="1"/>
    <col min="14083" max="14083" width="33.83203125" style="13" customWidth="1"/>
    <col min="14084" max="14084" width="18.6640625" style="13" customWidth="1"/>
    <col min="14085" max="14085" width="16.6640625" style="13" customWidth="1"/>
    <col min="14086" max="14086" width="16.83203125" style="13" customWidth="1"/>
    <col min="14087" max="14087" width="18.5" style="13" customWidth="1"/>
    <col min="14088" max="14088" width="18.83203125" style="13" customWidth="1"/>
    <col min="14089" max="14089" width="17" style="13" customWidth="1"/>
    <col min="14090" max="14336" width="8.83203125" style="13"/>
    <col min="14337" max="14337" width="17.5" style="13" customWidth="1"/>
    <col min="14338" max="14338" width="31.5" style="13" customWidth="1"/>
    <col min="14339" max="14339" width="33.83203125" style="13" customWidth="1"/>
    <col min="14340" max="14340" width="18.6640625" style="13" customWidth="1"/>
    <col min="14341" max="14341" width="16.6640625" style="13" customWidth="1"/>
    <col min="14342" max="14342" width="16.83203125" style="13" customWidth="1"/>
    <col min="14343" max="14343" width="18.5" style="13" customWidth="1"/>
    <col min="14344" max="14344" width="18.83203125" style="13" customWidth="1"/>
    <col min="14345" max="14345" width="17" style="13" customWidth="1"/>
    <col min="14346" max="14592" width="8.83203125" style="13"/>
    <col min="14593" max="14593" width="17.5" style="13" customWidth="1"/>
    <col min="14594" max="14594" width="31.5" style="13" customWidth="1"/>
    <col min="14595" max="14595" width="33.83203125" style="13" customWidth="1"/>
    <col min="14596" max="14596" width="18.6640625" style="13" customWidth="1"/>
    <col min="14597" max="14597" width="16.6640625" style="13" customWidth="1"/>
    <col min="14598" max="14598" width="16.83203125" style="13" customWidth="1"/>
    <col min="14599" max="14599" width="18.5" style="13" customWidth="1"/>
    <col min="14600" max="14600" width="18.83203125" style="13" customWidth="1"/>
    <col min="14601" max="14601" width="17" style="13" customWidth="1"/>
    <col min="14602" max="14848" width="8.83203125" style="13"/>
    <col min="14849" max="14849" width="17.5" style="13" customWidth="1"/>
    <col min="14850" max="14850" width="31.5" style="13" customWidth="1"/>
    <col min="14851" max="14851" width="33.83203125" style="13" customWidth="1"/>
    <col min="14852" max="14852" width="18.6640625" style="13" customWidth="1"/>
    <col min="14853" max="14853" width="16.6640625" style="13" customWidth="1"/>
    <col min="14854" max="14854" width="16.83203125" style="13" customWidth="1"/>
    <col min="14855" max="14855" width="18.5" style="13" customWidth="1"/>
    <col min="14856" max="14856" width="18.83203125" style="13" customWidth="1"/>
    <col min="14857" max="14857" width="17" style="13" customWidth="1"/>
    <col min="14858" max="15104" width="8.83203125" style="13"/>
    <col min="15105" max="15105" width="17.5" style="13" customWidth="1"/>
    <col min="15106" max="15106" width="31.5" style="13" customWidth="1"/>
    <col min="15107" max="15107" width="33.83203125" style="13" customWidth="1"/>
    <col min="15108" max="15108" width="18.6640625" style="13" customWidth="1"/>
    <col min="15109" max="15109" width="16.6640625" style="13" customWidth="1"/>
    <col min="15110" max="15110" width="16.83203125" style="13" customWidth="1"/>
    <col min="15111" max="15111" width="18.5" style="13" customWidth="1"/>
    <col min="15112" max="15112" width="18.83203125" style="13" customWidth="1"/>
    <col min="15113" max="15113" width="17" style="13" customWidth="1"/>
    <col min="15114" max="15360" width="8.83203125" style="13"/>
    <col min="15361" max="15361" width="17.5" style="13" customWidth="1"/>
    <col min="15362" max="15362" width="31.5" style="13" customWidth="1"/>
    <col min="15363" max="15363" width="33.83203125" style="13" customWidth="1"/>
    <col min="15364" max="15364" width="18.6640625" style="13" customWidth="1"/>
    <col min="15365" max="15365" width="16.6640625" style="13" customWidth="1"/>
    <col min="15366" max="15366" width="16.83203125" style="13" customWidth="1"/>
    <col min="15367" max="15367" width="18.5" style="13" customWidth="1"/>
    <col min="15368" max="15368" width="18.83203125" style="13" customWidth="1"/>
    <col min="15369" max="15369" width="17" style="13" customWidth="1"/>
    <col min="15370" max="15616" width="8.83203125" style="13"/>
    <col min="15617" max="15617" width="17.5" style="13" customWidth="1"/>
    <col min="15618" max="15618" width="31.5" style="13" customWidth="1"/>
    <col min="15619" max="15619" width="33.83203125" style="13" customWidth="1"/>
    <col min="15620" max="15620" width="18.6640625" style="13" customWidth="1"/>
    <col min="15621" max="15621" width="16.6640625" style="13" customWidth="1"/>
    <col min="15622" max="15622" width="16.83203125" style="13" customWidth="1"/>
    <col min="15623" max="15623" width="18.5" style="13" customWidth="1"/>
    <col min="15624" max="15624" width="18.83203125" style="13" customWidth="1"/>
    <col min="15625" max="15625" width="17" style="13" customWidth="1"/>
    <col min="15626" max="15872" width="8.83203125" style="13"/>
    <col min="15873" max="15873" width="17.5" style="13" customWidth="1"/>
    <col min="15874" max="15874" width="31.5" style="13" customWidth="1"/>
    <col min="15875" max="15875" width="33.83203125" style="13" customWidth="1"/>
    <col min="15876" max="15876" width="18.6640625" style="13" customWidth="1"/>
    <col min="15877" max="15877" width="16.6640625" style="13" customWidth="1"/>
    <col min="15878" max="15878" width="16.83203125" style="13" customWidth="1"/>
    <col min="15879" max="15879" width="18.5" style="13" customWidth="1"/>
    <col min="15880" max="15880" width="18.83203125" style="13" customWidth="1"/>
    <col min="15881" max="15881" width="17" style="13" customWidth="1"/>
    <col min="15882" max="16128" width="8.83203125" style="13"/>
    <col min="16129" max="16129" width="17.5" style="13" customWidth="1"/>
    <col min="16130" max="16130" width="31.5" style="13" customWidth="1"/>
    <col min="16131" max="16131" width="33.83203125" style="13" customWidth="1"/>
    <col min="16132" max="16132" width="18.6640625" style="13" customWidth="1"/>
    <col min="16133" max="16133" width="16.6640625" style="13" customWidth="1"/>
    <col min="16134" max="16134" width="16.83203125" style="13" customWidth="1"/>
    <col min="16135" max="16135" width="18.5" style="13" customWidth="1"/>
    <col min="16136" max="16136" width="18.83203125" style="13" customWidth="1"/>
    <col min="16137" max="16137" width="17" style="13" customWidth="1"/>
    <col min="16138" max="16384" width="8.83203125" style="13"/>
  </cols>
  <sheetData>
    <row r="1" spans="1:5" ht="15" customHeight="1">
      <c r="A1" s="11" t="s">
        <v>2883</v>
      </c>
      <c r="B1" s="12"/>
      <c r="C1" s="12"/>
      <c r="D1" s="39"/>
      <c r="E1" s="39"/>
    </row>
    <row r="2" spans="1:5" ht="15" customHeight="1">
      <c r="A2" s="12"/>
      <c r="B2" s="12"/>
      <c r="C2" s="12"/>
    </row>
    <row r="3" spans="1:5">
      <c r="A3" s="12"/>
      <c r="B3" s="14" t="s">
        <v>24</v>
      </c>
      <c r="C3" s="15"/>
    </row>
    <row r="4" spans="1:5">
      <c r="A4" s="12"/>
      <c r="B4" s="16" t="s">
        <v>25</v>
      </c>
      <c r="C4" s="15">
        <f>D46</f>
        <v>23</v>
      </c>
    </row>
    <row r="5" spans="1:5">
      <c r="A5" s="12"/>
      <c r="B5" s="16" t="s">
        <v>26</v>
      </c>
      <c r="C5" s="15">
        <f>D41</f>
        <v>20</v>
      </c>
    </row>
    <row r="6" spans="1:5" ht="25">
      <c r="A6" s="12"/>
      <c r="B6" s="16" t="s">
        <v>27</v>
      </c>
      <c r="C6" s="15">
        <v>0</v>
      </c>
    </row>
    <row r="7" spans="1:5">
      <c r="A7" s="12"/>
      <c r="B7" s="16" t="s">
        <v>28</v>
      </c>
      <c r="C7" s="15">
        <v>0</v>
      </c>
    </row>
    <row r="8" spans="1:5">
      <c r="A8" s="12"/>
      <c r="B8" s="16" t="s">
        <v>29</v>
      </c>
      <c r="C8" s="15">
        <f>D52</f>
        <v>4</v>
      </c>
    </row>
    <row r="9" spans="1:5">
      <c r="A9" s="12"/>
      <c r="B9" s="16" t="s">
        <v>30</v>
      </c>
      <c r="C9" s="15">
        <f>D57</f>
        <v>3</v>
      </c>
    </row>
    <row r="10" spans="1:5">
      <c r="A10" s="12"/>
      <c r="B10" s="16" t="s">
        <v>14</v>
      </c>
      <c r="C10" s="15">
        <v>0</v>
      </c>
    </row>
    <row r="11" spans="1:5">
      <c r="A11" s="12"/>
      <c r="B11" s="16" t="s">
        <v>15</v>
      </c>
      <c r="C11" s="15">
        <v>0</v>
      </c>
    </row>
    <row r="12" spans="1:5">
      <c r="A12" s="12"/>
      <c r="B12" s="16" t="s">
        <v>31</v>
      </c>
      <c r="C12" s="15">
        <f>D97</f>
        <v>38</v>
      </c>
    </row>
    <row r="13" spans="1:5">
      <c r="A13" s="12"/>
      <c r="B13" s="16" t="s">
        <v>32</v>
      </c>
      <c r="C13" s="15">
        <v>0</v>
      </c>
    </row>
    <row r="14" spans="1:5" ht="25">
      <c r="A14" s="12"/>
      <c r="B14" s="16" t="s">
        <v>33</v>
      </c>
      <c r="C14" s="15">
        <v>0</v>
      </c>
    </row>
    <row r="15" spans="1:5">
      <c r="A15" s="12"/>
      <c r="B15" s="16" t="s">
        <v>4</v>
      </c>
      <c r="C15" s="17">
        <f>C4+C6+C7+C8+C9+C10+C11</f>
        <v>30</v>
      </c>
    </row>
    <row r="16" spans="1:5">
      <c r="A16" s="12"/>
      <c r="B16" s="16" t="s">
        <v>34</v>
      </c>
      <c r="C16" s="15">
        <f>F103</f>
        <v>3</v>
      </c>
    </row>
    <row r="20" spans="1:9">
      <c r="A20" s="32" t="s">
        <v>35</v>
      </c>
      <c r="B20" s="32" t="s">
        <v>36</v>
      </c>
      <c r="C20" s="32" t="s">
        <v>37</v>
      </c>
      <c r="D20" s="32" t="s">
        <v>38</v>
      </c>
      <c r="E20" s="32" t="s">
        <v>39</v>
      </c>
      <c r="F20" s="32" t="s">
        <v>40</v>
      </c>
      <c r="G20" s="32" t="s">
        <v>41</v>
      </c>
      <c r="H20" s="32" t="s">
        <v>42</v>
      </c>
      <c r="I20" s="32" t="s">
        <v>1466</v>
      </c>
    </row>
    <row r="21" spans="1:9" ht="28">
      <c r="A21" s="58">
        <v>4</v>
      </c>
      <c r="B21" s="13" t="s">
        <v>2745</v>
      </c>
      <c r="C21" s="59" t="s">
        <v>2746</v>
      </c>
      <c r="D21" s="13" t="s">
        <v>1469</v>
      </c>
      <c r="E21" s="13" t="s">
        <v>1470</v>
      </c>
      <c r="F21" s="13" t="s">
        <v>1009</v>
      </c>
    </row>
    <row r="22" spans="1:9" ht="70">
      <c r="A22" s="58">
        <v>6</v>
      </c>
      <c r="B22" s="13" t="s">
        <v>2747</v>
      </c>
      <c r="C22" s="59" t="s">
        <v>2748</v>
      </c>
      <c r="D22" s="13" t="s">
        <v>1469</v>
      </c>
      <c r="E22" s="13" t="s">
        <v>1470</v>
      </c>
      <c r="F22" s="13" t="s">
        <v>1009</v>
      </c>
    </row>
    <row r="23" spans="1:9" ht="42">
      <c r="A23" s="58">
        <v>11</v>
      </c>
      <c r="B23" s="13" t="s">
        <v>2749</v>
      </c>
      <c r="C23" s="59" t="s">
        <v>2750</v>
      </c>
      <c r="D23" s="13" t="s">
        <v>1469</v>
      </c>
      <c r="E23" s="13" t="s">
        <v>1470</v>
      </c>
      <c r="F23" s="13" t="s">
        <v>1009</v>
      </c>
    </row>
    <row r="24" spans="1:9" ht="28">
      <c r="A24" s="58">
        <v>21</v>
      </c>
      <c r="B24" s="13" t="s">
        <v>2751</v>
      </c>
      <c r="C24" s="59" t="s">
        <v>2752</v>
      </c>
      <c r="D24" s="13" t="s">
        <v>1469</v>
      </c>
      <c r="E24" s="13" t="s">
        <v>1470</v>
      </c>
      <c r="F24" s="13" t="s">
        <v>1009</v>
      </c>
    </row>
    <row r="25" spans="1:9" ht="28">
      <c r="A25" s="58">
        <v>23</v>
      </c>
      <c r="B25" s="13" t="s">
        <v>2753</v>
      </c>
      <c r="C25" s="59" t="s">
        <v>2754</v>
      </c>
      <c r="D25" s="13" t="s">
        <v>1469</v>
      </c>
      <c r="E25" s="13" t="s">
        <v>1470</v>
      </c>
      <c r="F25" s="13" t="s">
        <v>1009</v>
      </c>
    </row>
    <row r="26" spans="1:9" ht="28">
      <c r="A26" s="58">
        <v>26</v>
      </c>
      <c r="B26" s="13" t="s">
        <v>2755</v>
      </c>
      <c r="C26" s="59" t="s">
        <v>2756</v>
      </c>
      <c r="D26" s="13" t="s">
        <v>1469</v>
      </c>
      <c r="E26" s="13" t="s">
        <v>1470</v>
      </c>
      <c r="F26" s="13" t="s">
        <v>1009</v>
      </c>
    </row>
    <row r="27" spans="1:9" ht="42">
      <c r="A27" s="58">
        <v>27</v>
      </c>
      <c r="B27" s="13" t="s">
        <v>2757</v>
      </c>
      <c r="C27" s="59" t="s">
        <v>2758</v>
      </c>
      <c r="D27" s="13" t="s">
        <v>1469</v>
      </c>
      <c r="E27" s="13" t="s">
        <v>1470</v>
      </c>
      <c r="F27" s="13" t="s">
        <v>1009</v>
      </c>
    </row>
    <row r="28" spans="1:9" ht="28">
      <c r="A28" s="58">
        <v>29</v>
      </c>
      <c r="B28" s="13" t="s">
        <v>2759</v>
      </c>
      <c r="C28" s="59" t="s">
        <v>2760</v>
      </c>
      <c r="D28" s="13" t="s">
        <v>1469</v>
      </c>
      <c r="E28" s="13" t="s">
        <v>1470</v>
      </c>
      <c r="F28" s="13" t="s">
        <v>1009</v>
      </c>
    </row>
    <row r="29" spans="1:9" ht="42">
      <c r="A29" s="58">
        <v>32</v>
      </c>
      <c r="B29" s="13" t="s">
        <v>2761</v>
      </c>
      <c r="C29" s="59" t="s">
        <v>2762</v>
      </c>
      <c r="D29" s="13" t="s">
        <v>1469</v>
      </c>
      <c r="E29" s="13" t="s">
        <v>1470</v>
      </c>
      <c r="F29" s="13" t="s">
        <v>1009</v>
      </c>
    </row>
    <row r="30" spans="1:9" ht="28">
      <c r="A30" s="58">
        <v>34</v>
      </c>
      <c r="B30" s="13" t="s">
        <v>2763</v>
      </c>
      <c r="C30" s="59" t="s">
        <v>2764</v>
      </c>
      <c r="D30" s="13" t="s">
        <v>1469</v>
      </c>
      <c r="E30" s="13" t="s">
        <v>1470</v>
      </c>
      <c r="F30" s="13" t="s">
        <v>1009</v>
      </c>
    </row>
    <row r="31" spans="1:9" ht="28">
      <c r="A31" s="58">
        <v>35</v>
      </c>
      <c r="B31" s="13" t="s">
        <v>2765</v>
      </c>
      <c r="C31" s="59" t="s">
        <v>2766</v>
      </c>
      <c r="D31" s="13" t="s">
        <v>1469</v>
      </c>
      <c r="E31" s="13" t="s">
        <v>1470</v>
      </c>
      <c r="F31" s="13" t="s">
        <v>1009</v>
      </c>
    </row>
    <row r="32" spans="1:9" ht="28">
      <c r="A32" s="58">
        <v>36</v>
      </c>
      <c r="B32" s="13" t="s">
        <v>453</v>
      </c>
      <c r="C32" s="59" t="s">
        <v>2767</v>
      </c>
      <c r="D32" s="13" t="s">
        <v>1469</v>
      </c>
      <c r="E32" s="13" t="s">
        <v>1470</v>
      </c>
      <c r="F32" s="13" t="s">
        <v>1009</v>
      </c>
    </row>
    <row r="33" spans="1:9" ht="42">
      <c r="A33" s="58">
        <v>41</v>
      </c>
      <c r="B33" s="13" t="s">
        <v>2768</v>
      </c>
      <c r="C33" s="59" t="s">
        <v>2769</v>
      </c>
      <c r="D33" s="13" t="s">
        <v>1469</v>
      </c>
      <c r="E33" s="13" t="s">
        <v>1470</v>
      </c>
      <c r="F33" s="13" t="s">
        <v>1009</v>
      </c>
    </row>
    <row r="34" spans="1:9" ht="56">
      <c r="A34" s="58">
        <v>43</v>
      </c>
      <c r="B34" s="13" t="s">
        <v>2770</v>
      </c>
      <c r="C34" s="59" t="s">
        <v>2771</v>
      </c>
      <c r="D34" s="13" t="s">
        <v>1469</v>
      </c>
      <c r="E34" s="13" t="s">
        <v>1470</v>
      </c>
      <c r="F34" s="13" t="s">
        <v>1009</v>
      </c>
    </row>
    <row r="35" spans="1:9" ht="56">
      <c r="A35" s="58">
        <v>48</v>
      </c>
      <c r="B35" s="13" t="s">
        <v>2772</v>
      </c>
      <c r="C35" s="59" t="s">
        <v>2773</v>
      </c>
      <c r="D35" s="13" t="s">
        <v>1469</v>
      </c>
      <c r="E35" s="13" t="s">
        <v>1470</v>
      </c>
      <c r="F35" s="13" t="s">
        <v>1009</v>
      </c>
    </row>
    <row r="36" spans="1:9" ht="28">
      <c r="A36" s="58">
        <v>49</v>
      </c>
      <c r="B36" s="13" t="s">
        <v>2774</v>
      </c>
      <c r="C36" s="59" t="s">
        <v>2775</v>
      </c>
      <c r="D36" s="13" t="s">
        <v>1469</v>
      </c>
      <c r="E36" s="13" t="s">
        <v>1470</v>
      </c>
      <c r="F36" s="13" t="s">
        <v>1009</v>
      </c>
    </row>
    <row r="37" spans="1:9" ht="28">
      <c r="A37" s="58">
        <v>54</v>
      </c>
      <c r="B37" s="13" t="s">
        <v>2776</v>
      </c>
      <c r="C37" s="59" t="s">
        <v>2777</v>
      </c>
      <c r="D37" s="13" t="s">
        <v>1469</v>
      </c>
      <c r="E37" s="13" t="s">
        <v>1470</v>
      </c>
      <c r="F37" s="13" t="s">
        <v>1009</v>
      </c>
    </row>
    <row r="38" spans="1:9" ht="42">
      <c r="A38" s="58">
        <v>55</v>
      </c>
      <c r="B38" s="13" t="s">
        <v>2778</v>
      </c>
      <c r="C38" s="59" t="s">
        <v>2779</v>
      </c>
      <c r="D38" s="13" t="s">
        <v>1469</v>
      </c>
      <c r="E38" s="13" t="s">
        <v>1470</v>
      </c>
      <c r="F38" s="13" t="s">
        <v>1009</v>
      </c>
    </row>
    <row r="39" spans="1:9" ht="56">
      <c r="A39" s="58">
        <v>57</v>
      </c>
      <c r="B39" s="13" t="s">
        <v>2780</v>
      </c>
      <c r="C39" s="59" t="s">
        <v>2781</v>
      </c>
      <c r="D39" s="13" t="s">
        <v>1469</v>
      </c>
      <c r="E39" s="13" t="s">
        <v>1470</v>
      </c>
      <c r="F39" s="13" t="s">
        <v>1009</v>
      </c>
    </row>
    <row r="40" spans="1:9" ht="42">
      <c r="A40" s="58">
        <v>60</v>
      </c>
      <c r="B40" s="13" t="s">
        <v>2782</v>
      </c>
      <c r="C40" s="59" t="s">
        <v>2783</v>
      </c>
      <c r="D40" s="13" t="s">
        <v>1469</v>
      </c>
      <c r="E40" s="13" t="s">
        <v>1470</v>
      </c>
      <c r="F40" s="13" t="s">
        <v>1009</v>
      </c>
    </row>
    <row r="41" spans="1:9">
      <c r="A41" s="58"/>
      <c r="C41" s="60" t="s">
        <v>95</v>
      </c>
      <c r="D41" s="35">
        <f>COUNTA(D21:D40)</f>
        <v>20</v>
      </c>
    </row>
    <row r="42" spans="1:9">
      <c r="A42" s="58"/>
    </row>
    <row r="43" spans="1:9" ht="28">
      <c r="A43" s="58">
        <v>51</v>
      </c>
      <c r="B43" s="13" t="s">
        <v>2784</v>
      </c>
      <c r="C43" s="59" t="s">
        <v>2785</v>
      </c>
      <c r="D43" s="13" t="s">
        <v>1469</v>
      </c>
      <c r="F43" s="13" t="s">
        <v>1009</v>
      </c>
    </row>
    <row r="44" spans="1:9" ht="28">
      <c r="A44" s="58">
        <v>16</v>
      </c>
      <c r="B44" s="13" t="s">
        <v>2786</v>
      </c>
      <c r="C44" s="59" t="s">
        <v>2787</v>
      </c>
      <c r="D44" s="13" t="s">
        <v>1469</v>
      </c>
      <c r="F44" s="13" t="s">
        <v>1010</v>
      </c>
      <c r="G44" s="13" t="s">
        <v>1524</v>
      </c>
      <c r="H44" s="13" t="s">
        <v>1469</v>
      </c>
      <c r="I44" s="13" t="s">
        <v>1010</v>
      </c>
    </row>
    <row r="45" spans="1:9" ht="28">
      <c r="A45" s="58">
        <v>68</v>
      </c>
      <c r="B45" s="13" t="s">
        <v>2788</v>
      </c>
      <c r="C45" s="59" t="s">
        <v>2789</v>
      </c>
      <c r="D45" s="13" t="s">
        <v>1469</v>
      </c>
      <c r="F45" s="13" t="s">
        <v>1009</v>
      </c>
    </row>
    <row r="46" spans="1:9">
      <c r="A46" s="58"/>
      <c r="C46" s="60" t="s">
        <v>95</v>
      </c>
      <c r="D46" s="35">
        <f>COUNTA(D43:D45)+D41</f>
        <v>23</v>
      </c>
    </row>
    <row r="47" spans="1:9">
      <c r="A47" s="58"/>
    </row>
    <row r="48" spans="1:9" ht="28">
      <c r="A48" s="58">
        <v>64</v>
      </c>
      <c r="B48" s="13" t="s">
        <v>2790</v>
      </c>
      <c r="C48" s="59" t="s">
        <v>2791</v>
      </c>
      <c r="D48" s="13" t="s">
        <v>1514</v>
      </c>
      <c r="F48" s="13" t="s">
        <v>1010</v>
      </c>
      <c r="G48" s="13" t="s">
        <v>1514</v>
      </c>
      <c r="H48" s="13" t="s">
        <v>1469</v>
      </c>
      <c r="I48" s="13" t="s">
        <v>1010</v>
      </c>
    </row>
    <row r="49" spans="1:9" ht="42">
      <c r="A49" s="58">
        <v>44</v>
      </c>
      <c r="B49" s="13" t="s">
        <v>2792</v>
      </c>
      <c r="C49" s="59" t="s">
        <v>2793</v>
      </c>
      <c r="D49" s="13" t="s">
        <v>1514</v>
      </c>
      <c r="F49" s="13" t="s">
        <v>1009</v>
      </c>
    </row>
    <row r="50" spans="1:9" ht="28">
      <c r="A50" s="58">
        <v>52</v>
      </c>
      <c r="B50" s="13" t="s">
        <v>2794</v>
      </c>
      <c r="C50" s="59" t="s">
        <v>2795</v>
      </c>
      <c r="D50" s="13" t="s">
        <v>1514</v>
      </c>
      <c r="F50" s="13" t="s">
        <v>1009</v>
      </c>
    </row>
    <row r="51" spans="1:9" ht="56">
      <c r="A51" s="58">
        <v>62</v>
      </c>
      <c r="B51" s="13" t="s">
        <v>2796</v>
      </c>
      <c r="C51" s="59" t="s">
        <v>2797</v>
      </c>
      <c r="D51" s="13" t="s">
        <v>1514</v>
      </c>
      <c r="F51" s="13" t="s">
        <v>1009</v>
      </c>
    </row>
    <row r="52" spans="1:9">
      <c r="A52" s="58"/>
      <c r="C52" s="60" t="s">
        <v>95</v>
      </c>
      <c r="D52" s="35">
        <f>COUNTA(D48:D51)</f>
        <v>4</v>
      </c>
    </row>
    <row r="53" spans="1:9">
      <c r="A53" s="58"/>
    </row>
    <row r="54" spans="1:9" ht="42">
      <c r="A54" s="58">
        <v>53</v>
      </c>
      <c r="B54" s="13" t="s">
        <v>2798</v>
      </c>
      <c r="C54" s="59" t="s">
        <v>2799</v>
      </c>
      <c r="D54" s="13" t="s">
        <v>1517</v>
      </c>
      <c r="F54" s="13" t="s">
        <v>1009</v>
      </c>
    </row>
    <row r="55" spans="1:9" ht="28">
      <c r="A55" s="58">
        <v>17</v>
      </c>
      <c r="B55" s="13" t="s">
        <v>2800</v>
      </c>
      <c r="C55" s="59" t="s">
        <v>2801</v>
      </c>
      <c r="D55" s="13" t="s">
        <v>1527</v>
      </c>
      <c r="F55" s="13" t="s">
        <v>1010</v>
      </c>
      <c r="G55" s="13" t="s">
        <v>1524</v>
      </c>
      <c r="H55" s="13" t="s">
        <v>1527</v>
      </c>
      <c r="I55" s="13" t="s">
        <v>1010</v>
      </c>
    </row>
    <row r="56" spans="1:9" ht="70">
      <c r="A56" s="58">
        <v>39</v>
      </c>
      <c r="B56" s="13" t="s">
        <v>2802</v>
      </c>
      <c r="C56" s="59" t="s">
        <v>2803</v>
      </c>
      <c r="D56" s="13" t="s">
        <v>1527</v>
      </c>
      <c r="F56" s="13" t="s">
        <v>1009</v>
      </c>
    </row>
    <row r="57" spans="1:9">
      <c r="A57" s="58"/>
      <c r="C57" s="60" t="s">
        <v>95</v>
      </c>
      <c r="D57" s="35">
        <f>COUNTA(D54:D56)</f>
        <v>3</v>
      </c>
    </row>
    <row r="58" spans="1:9">
      <c r="A58" s="58"/>
    </row>
    <row r="59" spans="1:9" ht="28">
      <c r="A59" s="58">
        <v>2</v>
      </c>
      <c r="B59" s="13" t="s">
        <v>2804</v>
      </c>
      <c r="C59" s="59" t="s">
        <v>2805</v>
      </c>
      <c r="D59" s="13" t="s">
        <v>1473</v>
      </c>
      <c r="F59" s="13" t="s">
        <v>1009</v>
      </c>
    </row>
    <row r="60" spans="1:9" ht="70">
      <c r="A60" s="58">
        <v>3</v>
      </c>
      <c r="B60" s="13" t="s">
        <v>2806</v>
      </c>
      <c r="C60" s="59" t="s">
        <v>2807</v>
      </c>
      <c r="D60" s="13" t="s">
        <v>1473</v>
      </c>
      <c r="F60" s="13" t="s">
        <v>1009</v>
      </c>
    </row>
    <row r="61" spans="1:9" ht="70">
      <c r="A61" s="58">
        <v>5</v>
      </c>
      <c r="B61" s="13" t="s">
        <v>2808</v>
      </c>
      <c r="C61" s="59" t="s">
        <v>2809</v>
      </c>
      <c r="D61" s="13" t="s">
        <v>1473</v>
      </c>
      <c r="F61" s="13" t="s">
        <v>1009</v>
      </c>
    </row>
    <row r="62" spans="1:9" ht="42">
      <c r="A62" s="58">
        <v>7</v>
      </c>
      <c r="B62" s="13" t="s">
        <v>2810</v>
      </c>
      <c r="C62" s="59" t="s">
        <v>2811</v>
      </c>
      <c r="D62" s="13" t="s">
        <v>1473</v>
      </c>
      <c r="F62" s="13" t="s">
        <v>1009</v>
      </c>
    </row>
    <row r="63" spans="1:9" ht="28">
      <c r="A63" s="58">
        <v>8</v>
      </c>
      <c r="B63" s="13" t="s">
        <v>2812</v>
      </c>
      <c r="C63" s="59" t="s">
        <v>2813</v>
      </c>
      <c r="D63" s="13" t="s">
        <v>1473</v>
      </c>
      <c r="F63" s="13" t="s">
        <v>1009</v>
      </c>
    </row>
    <row r="64" spans="1:9" ht="70">
      <c r="A64" s="58">
        <v>9</v>
      </c>
      <c r="B64" s="13" t="s">
        <v>2814</v>
      </c>
      <c r="C64" s="59" t="s">
        <v>2815</v>
      </c>
      <c r="D64" s="13" t="s">
        <v>1473</v>
      </c>
      <c r="F64" s="13" t="s">
        <v>1009</v>
      </c>
    </row>
    <row r="65" spans="1:6" ht="56">
      <c r="A65" s="58">
        <v>10</v>
      </c>
      <c r="B65" s="13" t="s">
        <v>2802</v>
      </c>
      <c r="C65" s="59" t="s">
        <v>2816</v>
      </c>
      <c r="D65" s="13" t="s">
        <v>1473</v>
      </c>
      <c r="F65" s="13" t="s">
        <v>1009</v>
      </c>
    </row>
    <row r="66" spans="1:6" ht="56">
      <c r="A66" s="58">
        <v>12</v>
      </c>
      <c r="B66" s="13" t="s">
        <v>2817</v>
      </c>
      <c r="C66" s="59" t="s">
        <v>2818</v>
      </c>
      <c r="D66" s="13" t="s">
        <v>1473</v>
      </c>
      <c r="F66" s="13" t="s">
        <v>1009</v>
      </c>
    </row>
    <row r="67" spans="1:6" ht="56">
      <c r="A67" s="58">
        <v>13</v>
      </c>
      <c r="B67" s="13" t="s">
        <v>2819</v>
      </c>
      <c r="C67" s="59" t="s">
        <v>2820</v>
      </c>
      <c r="D67" s="13" t="s">
        <v>1473</v>
      </c>
      <c r="F67" s="13" t="s">
        <v>1009</v>
      </c>
    </row>
    <row r="68" spans="1:6" ht="42">
      <c r="A68" s="58">
        <v>14</v>
      </c>
      <c r="B68" s="13" t="s">
        <v>2821</v>
      </c>
      <c r="C68" s="59" t="s">
        <v>2822</v>
      </c>
      <c r="D68" s="13" t="s">
        <v>1473</v>
      </c>
      <c r="F68" s="13" t="s">
        <v>1009</v>
      </c>
    </row>
    <row r="69" spans="1:6" ht="28">
      <c r="A69" s="58">
        <v>15</v>
      </c>
      <c r="B69" s="13" t="s">
        <v>2823</v>
      </c>
      <c r="C69" s="59" t="s">
        <v>2824</v>
      </c>
      <c r="D69" s="13" t="s">
        <v>1473</v>
      </c>
      <c r="F69" s="13" t="s">
        <v>1009</v>
      </c>
    </row>
    <row r="70" spans="1:6" ht="42">
      <c r="A70" s="58">
        <v>18</v>
      </c>
      <c r="B70" s="13" t="s">
        <v>2825</v>
      </c>
      <c r="C70" s="59" t="s">
        <v>2826</v>
      </c>
      <c r="D70" s="13" t="s">
        <v>1473</v>
      </c>
      <c r="F70" s="13" t="s">
        <v>1009</v>
      </c>
    </row>
    <row r="71" spans="1:6" ht="42">
      <c r="A71" s="58">
        <v>19</v>
      </c>
      <c r="B71" s="13" t="s">
        <v>525</v>
      </c>
      <c r="C71" s="59" t="s">
        <v>2827</v>
      </c>
      <c r="D71" s="13" t="s">
        <v>1473</v>
      </c>
      <c r="F71" s="13" t="s">
        <v>1009</v>
      </c>
    </row>
    <row r="72" spans="1:6" ht="42">
      <c r="A72" s="58">
        <v>20</v>
      </c>
      <c r="B72" s="13" t="s">
        <v>2828</v>
      </c>
      <c r="C72" s="59" t="s">
        <v>2829</v>
      </c>
      <c r="D72" s="13" t="s">
        <v>1473</v>
      </c>
      <c r="F72" s="13" t="s">
        <v>1009</v>
      </c>
    </row>
    <row r="73" spans="1:6" ht="42">
      <c r="A73" s="58">
        <v>22</v>
      </c>
      <c r="B73" s="13" t="s">
        <v>2830</v>
      </c>
      <c r="C73" s="59" t="s">
        <v>2831</v>
      </c>
      <c r="D73" s="13" t="s">
        <v>1473</v>
      </c>
      <c r="F73" s="13" t="s">
        <v>1009</v>
      </c>
    </row>
    <row r="74" spans="1:6" ht="42">
      <c r="A74" s="58">
        <v>24</v>
      </c>
      <c r="B74" s="13" t="s">
        <v>2832</v>
      </c>
      <c r="C74" s="59" t="s">
        <v>2833</v>
      </c>
      <c r="D74" s="13" t="s">
        <v>1473</v>
      </c>
      <c r="F74" s="13" t="s">
        <v>1009</v>
      </c>
    </row>
    <row r="75" spans="1:6" ht="56">
      <c r="A75" s="58">
        <v>25</v>
      </c>
      <c r="B75" s="13" t="s">
        <v>2834</v>
      </c>
      <c r="C75" s="59" t="s">
        <v>2835</v>
      </c>
      <c r="D75" s="13" t="s">
        <v>1473</v>
      </c>
      <c r="F75" s="13" t="s">
        <v>1009</v>
      </c>
    </row>
    <row r="76" spans="1:6" ht="56">
      <c r="A76" s="58">
        <v>28</v>
      </c>
      <c r="B76" s="13" t="s">
        <v>2836</v>
      </c>
      <c r="C76" s="59" t="s">
        <v>2837</v>
      </c>
      <c r="D76" s="13" t="s">
        <v>1473</v>
      </c>
      <c r="F76" s="13" t="s">
        <v>1009</v>
      </c>
    </row>
    <row r="77" spans="1:6" ht="42">
      <c r="A77" s="58">
        <v>30</v>
      </c>
      <c r="B77" s="13" t="s">
        <v>2838</v>
      </c>
      <c r="C77" s="59" t="s">
        <v>2839</v>
      </c>
      <c r="D77" s="13" t="s">
        <v>1473</v>
      </c>
      <c r="F77" s="13" t="s">
        <v>1009</v>
      </c>
    </row>
    <row r="78" spans="1:6" ht="28">
      <c r="A78" s="58">
        <v>31</v>
      </c>
      <c r="B78" s="13" t="s">
        <v>2840</v>
      </c>
      <c r="C78" s="59" t="s">
        <v>2841</v>
      </c>
      <c r="D78" s="13" t="s">
        <v>1473</v>
      </c>
      <c r="F78" s="13" t="s">
        <v>1009</v>
      </c>
    </row>
    <row r="79" spans="1:6" ht="56">
      <c r="A79" s="58">
        <v>33</v>
      </c>
      <c r="B79" s="13" t="s">
        <v>2842</v>
      </c>
      <c r="C79" s="59" t="s">
        <v>2843</v>
      </c>
      <c r="D79" s="13" t="s">
        <v>1473</v>
      </c>
      <c r="F79" s="13" t="s">
        <v>1009</v>
      </c>
    </row>
    <row r="80" spans="1:6" ht="42">
      <c r="A80" s="58">
        <v>37</v>
      </c>
      <c r="B80" s="13" t="s">
        <v>2844</v>
      </c>
      <c r="C80" s="59" t="s">
        <v>2845</v>
      </c>
      <c r="D80" s="13" t="s">
        <v>1473</v>
      </c>
      <c r="F80" s="13" t="s">
        <v>1009</v>
      </c>
    </row>
    <row r="81" spans="1:6" ht="56">
      <c r="A81" s="58">
        <v>38</v>
      </c>
      <c r="B81" s="13" t="s">
        <v>2846</v>
      </c>
      <c r="C81" s="59" t="s">
        <v>2847</v>
      </c>
      <c r="D81" s="13" t="s">
        <v>1473</v>
      </c>
      <c r="F81" s="13" t="s">
        <v>1009</v>
      </c>
    </row>
    <row r="82" spans="1:6" ht="42">
      <c r="A82" s="58">
        <v>40</v>
      </c>
      <c r="B82" s="13" t="s">
        <v>2848</v>
      </c>
      <c r="C82" s="59" t="s">
        <v>2849</v>
      </c>
      <c r="D82" s="13" t="s">
        <v>1473</v>
      </c>
      <c r="F82" s="13" t="s">
        <v>1009</v>
      </c>
    </row>
    <row r="83" spans="1:6" ht="28">
      <c r="A83" s="58">
        <v>42</v>
      </c>
      <c r="B83" s="13" t="s">
        <v>2850</v>
      </c>
      <c r="C83" s="59" t="s">
        <v>2851</v>
      </c>
      <c r="D83" s="13" t="s">
        <v>1473</v>
      </c>
      <c r="F83" s="13" t="s">
        <v>1009</v>
      </c>
    </row>
    <row r="84" spans="1:6" ht="42">
      <c r="A84" s="58">
        <v>45</v>
      </c>
      <c r="B84" s="13" t="s">
        <v>2852</v>
      </c>
      <c r="C84" s="59" t="s">
        <v>2853</v>
      </c>
      <c r="D84" s="13" t="s">
        <v>1473</v>
      </c>
      <c r="F84" s="13" t="s">
        <v>1009</v>
      </c>
    </row>
    <row r="85" spans="1:6" ht="42">
      <c r="A85" s="58">
        <v>47</v>
      </c>
      <c r="B85" s="13" t="s">
        <v>2854</v>
      </c>
      <c r="C85" s="59" t="s">
        <v>2855</v>
      </c>
      <c r="D85" s="13" t="s">
        <v>1473</v>
      </c>
      <c r="F85" s="13" t="s">
        <v>1009</v>
      </c>
    </row>
    <row r="86" spans="1:6" ht="28">
      <c r="A86" s="58">
        <v>50</v>
      </c>
      <c r="B86" s="13" t="s">
        <v>2856</v>
      </c>
      <c r="C86" s="59" t="s">
        <v>2857</v>
      </c>
      <c r="D86" s="13" t="s">
        <v>1473</v>
      </c>
      <c r="F86" s="13" t="s">
        <v>1009</v>
      </c>
    </row>
    <row r="87" spans="1:6" ht="42">
      <c r="A87" s="58">
        <v>56</v>
      </c>
      <c r="B87" s="13" t="s">
        <v>2858</v>
      </c>
      <c r="C87" s="59" t="s">
        <v>2859</v>
      </c>
      <c r="D87" s="13" t="s">
        <v>1473</v>
      </c>
      <c r="F87" s="13" t="s">
        <v>1009</v>
      </c>
    </row>
    <row r="88" spans="1:6" ht="28">
      <c r="A88" s="58">
        <v>59</v>
      </c>
      <c r="B88" s="13" t="s">
        <v>2860</v>
      </c>
      <c r="C88" s="59" t="s">
        <v>2861</v>
      </c>
      <c r="D88" s="13" t="s">
        <v>1473</v>
      </c>
      <c r="F88" s="13" t="s">
        <v>1009</v>
      </c>
    </row>
    <row r="89" spans="1:6" ht="28">
      <c r="A89" s="58">
        <v>61</v>
      </c>
      <c r="B89" s="13" t="s">
        <v>2862</v>
      </c>
      <c r="C89" s="59" t="s">
        <v>2863</v>
      </c>
      <c r="D89" s="13" t="s">
        <v>1473</v>
      </c>
      <c r="F89" s="13" t="s">
        <v>1009</v>
      </c>
    </row>
    <row r="90" spans="1:6" ht="42">
      <c r="A90" s="58">
        <v>63</v>
      </c>
      <c r="B90" s="13" t="s">
        <v>2864</v>
      </c>
      <c r="C90" s="59" t="s">
        <v>2865</v>
      </c>
      <c r="D90" s="13" t="s">
        <v>1473</v>
      </c>
      <c r="F90" s="13" t="s">
        <v>1009</v>
      </c>
    </row>
    <row r="91" spans="1:6" ht="28">
      <c r="A91" s="58">
        <v>65</v>
      </c>
      <c r="B91" s="13" t="s">
        <v>2866</v>
      </c>
      <c r="C91" s="59" t="s">
        <v>2867</v>
      </c>
      <c r="D91" s="13" t="s">
        <v>1473</v>
      </c>
      <c r="F91" s="13" t="s">
        <v>1009</v>
      </c>
    </row>
    <row r="92" spans="1:6" ht="42">
      <c r="A92" s="58">
        <v>66</v>
      </c>
      <c r="B92" s="13" t="s">
        <v>2868</v>
      </c>
      <c r="C92" s="59" t="s">
        <v>2869</v>
      </c>
      <c r="D92" s="13" t="s">
        <v>1473</v>
      </c>
      <c r="F92" s="13" t="s">
        <v>1009</v>
      </c>
    </row>
    <row r="93" spans="1:6" ht="28">
      <c r="A93" s="58">
        <v>67</v>
      </c>
      <c r="B93" s="13" t="s">
        <v>2870</v>
      </c>
      <c r="C93" s="59" t="s">
        <v>2871</v>
      </c>
      <c r="D93" s="13" t="s">
        <v>1473</v>
      </c>
      <c r="F93" s="13" t="s">
        <v>1009</v>
      </c>
    </row>
    <row r="94" spans="1:6" ht="28">
      <c r="A94" s="58">
        <v>69</v>
      </c>
      <c r="B94" s="13" t="s">
        <v>226</v>
      </c>
      <c r="C94" s="59" t="s">
        <v>2872</v>
      </c>
      <c r="D94" s="13" t="s">
        <v>1473</v>
      </c>
      <c r="F94" s="13" t="s">
        <v>1009</v>
      </c>
    </row>
    <row r="95" spans="1:6" ht="42">
      <c r="A95" s="58">
        <v>70</v>
      </c>
      <c r="B95" s="13" t="s">
        <v>2873</v>
      </c>
      <c r="C95" s="59" t="s">
        <v>2874</v>
      </c>
      <c r="D95" s="13" t="s">
        <v>1473</v>
      </c>
      <c r="F95" s="13" t="s">
        <v>1009</v>
      </c>
    </row>
    <row r="96" spans="1:6" ht="56">
      <c r="A96" s="58">
        <v>71</v>
      </c>
      <c r="B96" s="13" t="s">
        <v>2875</v>
      </c>
      <c r="C96" s="59" t="s">
        <v>2876</v>
      </c>
      <c r="D96" s="13" t="s">
        <v>1473</v>
      </c>
      <c r="F96" s="13" t="s">
        <v>1009</v>
      </c>
    </row>
    <row r="97" spans="1:9">
      <c r="C97" s="60" t="s">
        <v>95</v>
      </c>
      <c r="D97" s="35">
        <f>COUNTA(D59:D96)</f>
        <v>38</v>
      </c>
    </row>
    <row r="99" spans="1:9">
      <c r="A99" s="32" t="s">
        <v>35</v>
      </c>
      <c r="B99" s="32" t="s">
        <v>36</v>
      </c>
      <c r="C99" s="32" t="s">
        <v>37</v>
      </c>
      <c r="D99" s="32" t="s">
        <v>38</v>
      </c>
      <c r="E99" s="32" t="s">
        <v>39</v>
      </c>
      <c r="F99" s="32" t="s">
        <v>40</v>
      </c>
      <c r="G99" s="32" t="s">
        <v>41</v>
      </c>
      <c r="H99" s="32" t="s">
        <v>42</v>
      </c>
      <c r="I99" s="32" t="s">
        <v>1466</v>
      </c>
    </row>
    <row r="100" spans="1:9" ht="84">
      <c r="A100" s="58">
        <v>1</v>
      </c>
      <c r="B100" s="13" t="s">
        <v>2877</v>
      </c>
      <c r="C100" s="59" t="s">
        <v>2878</v>
      </c>
      <c r="D100" s="13" t="s">
        <v>2735</v>
      </c>
      <c r="F100" s="13" t="s">
        <v>1010</v>
      </c>
      <c r="G100" s="13" t="s">
        <v>1514</v>
      </c>
      <c r="H100" s="13" t="s">
        <v>1517</v>
      </c>
      <c r="I100" s="13" t="s">
        <v>1009</v>
      </c>
    </row>
    <row r="101" spans="1:9" ht="42">
      <c r="A101" s="58">
        <v>72</v>
      </c>
      <c r="B101" s="13" t="s">
        <v>2879</v>
      </c>
      <c r="C101" s="59" t="s">
        <v>2880</v>
      </c>
      <c r="D101" s="13" t="s">
        <v>2735</v>
      </c>
      <c r="F101" s="13" t="s">
        <v>1010</v>
      </c>
      <c r="G101" s="13" t="s">
        <v>1524</v>
      </c>
      <c r="H101" s="13" t="s">
        <v>1517</v>
      </c>
      <c r="I101" s="13" t="s">
        <v>1009</v>
      </c>
    </row>
    <row r="102" spans="1:9" ht="42">
      <c r="A102" s="58">
        <v>73</v>
      </c>
      <c r="B102" s="13" t="s">
        <v>2881</v>
      </c>
      <c r="C102" s="59" t="s">
        <v>2882</v>
      </c>
      <c r="D102" s="13" t="s">
        <v>2735</v>
      </c>
      <c r="F102" s="13" t="s">
        <v>1010</v>
      </c>
      <c r="G102" s="13" t="s">
        <v>1514</v>
      </c>
      <c r="H102" s="13" t="s">
        <v>1517</v>
      </c>
      <c r="I102" s="13" t="s">
        <v>1009</v>
      </c>
    </row>
    <row r="103" spans="1:9">
      <c r="E103" s="35" t="s">
        <v>95</v>
      </c>
      <c r="F103" s="35">
        <f>COUNTA(F100:F102)</f>
        <v>3</v>
      </c>
    </row>
    <row r="167" spans="2:2">
      <c r="B167" s="13" t="s">
        <v>2735</v>
      </c>
    </row>
    <row r="168" spans="2:2">
      <c r="B168" s="13" t="s">
        <v>2735</v>
      </c>
    </row>
    <row r="169" spans="2:2">
      <c r="B169" s="13" t="s">
        <v>2735</v>
      </c>
    </row>
    <row r="170" spans="2:2">
      <c r="B170" s="13" t="s">
        <v>2735</v>
      </c>
    </row>
    <row r="171" spans="2:2">
      <c r="B171" s="13" t="s">
        <v>2735</v>
      </c>
    </row>
    <row r="172" spans="2:2">
      <c r="B172" s="13" t="s">
        <v>2735</v>
      </c>
    </row>
    <row r="173" spans="2:2">
      <c r="B173" s="13" t="s">
        <v>2735</v>
      </c>
    </row>
    <row r="174" spans="2:2">
      <c r="B174" s="13" t="s">
        <v>2735</v>
      </c>
    </row>
    <row r="175" spans="2:2">
      <c r="B175" s="13" t="s">
        <v>2735</v>
      </c>
    </row>
    <row r="176" spans="2:2">
      <c r="B176" s="13" t="s">
        <v>2735</v>
      </c>
    </row>
    <row r="177" spans="2:2">
      <c r="B177" s="13" t="s">
        <v>2735</v>
      </c>
    </row>
    <row r="178" spans="2:2">
      <c r="B178" s="13" t="s">
        <v>2735</v>
      </c>
    </row>
    <row r="179" spans="2:2">
      <c r="B179" s="13" t="s">
        <v>2735</v>
      </c>
    </row>
    <row r="180" spans="2:2">
      <c r="B180" s="13" t="s">
        <v>2735</v>
      </c>
    </row>
    <row r="181" spans="2:2">
      <c r="B181" s="13" t="s">
        <v>2735</v>
      </c>
    </row>
    <row r="182" spans="2:2">
      <c r="B182" s="13" t="s">
        <v>2735</v>
      </c>
    </row>
    <row r="183" spans="2:2">
      <c r="B183" s="13" t="s">
        <v>2735</v>
      </c>
    </row>
    <row r="184" spans="2:2">
      <c r="B184" s="13" t="s">
        <v>2735</v>
      </c>
    </row>
    <row r="185" spans="2:2">
      <c r="B185" s="13" t="s">
        <v>2735</v>
      </c>
    </row>
    <row r="186" spans="2:2">
      <c r="B186" s="13" t="s">
        <v>2735</v>
      </c>
    </row>
    <row r="187" spans="2:2">
      <c r="B187" s="13" t="s">
        <v>2735</v>
      </c>
    </row>
    <row r="188" spans="2:2">
      <c r="B188" s="13" t="s">
        <v>2735</v>
      </c>
    </row>
    <row r="189" spans="2:2">
      <c r="B189" s="13" t="s">
        <v>2735</v>
      </c>
    </row>
    <row r="190" spans="2:2">
      <c r="B190" s="13" t="s">
        <v>2735</v>
      </c>
    </row>
    <row r="191" spans="2:2">
      <c r="B191" s="13" t="s">
        <v>2735</v>
      </c>
    </row>
    <row r="192" spans="2:2">
      <c r="B192" s="13" t="s">
        <v>2735</v>
      </c>
    </row>
    <row r="193" spans="2:2">
      <c r="B193" s="13" t="s">
        <v>2735</v>
      </c>
    </row>
    <row r="194" spans="2:2">
      <c r="B194" s="13" t="s">
        <v>2735</v>
      </c>
    </row>
    <row r="195" spans="2:2">
      <c r="B195" s="13" t="s">
        <v>2735</v>
      </c>
    </row>
    <row r="196" spans="2:2">
      <c r="B196" s="13" t="s">
        <v>2735</v>
      </c>
    </row>
    <row r="197" spans="2:2">
      <c r="B197" s="13" t="s">
        <v>2735</v>
      </c>
    </row>
    <row r="198" spans="2:2">
      <c r="B198" s="13" t="s">
        <v>2735</v>
      </c>
    </row>
    <row r="199" spans="2:2">
      <c r="B199" s="13" t="s">
        <v>2735</v>
      </c>
    </row>
    <row r="200" spans="2:2">
      <c r="B200" s="13" t="s">
        <v>2735</v>
      </c>
    </row>
    <row r="201" spans="2:2">
      <c r="B201" s="13" t="s">
        <v>2735</v>
      </c>
    </row>
    <row r="202" spans="2:2">
      <c r="B202" s="13" t="s">
        <v>2735</v>
      </c>
    </row>
    <row r="203" spans="2:2">
      <c r="B203" s="13" t="s">
        <v>2735</v>
      </c>
    </row>
    <row r="204" spans="2:2">
      <c r="B204" s="13" t="s">
        <v>2735</v>
      </c>
    </row>
    <row r="205" spans="2:2">
      <c r="B205" s="13" t="s">
        <v>2735</v>
      </c>
    </row>
    <row r="206" spans="2:2">
      <c r="B206" s="13" t="s">
        <v>2735</v>
      </c>
    </row>
    <row r="207" spans="2:2">
      <c r="B207" s="13" t="s">
        <v>2735</v>
      </c>
    </row>
    <row r="208" spans="2:2">
      <c r="B208" s="13" t="s">
        <v>2735</v>
      </c>
    </row>
    <row r="209" spans="2:2">
      <c r="B209" s="13" t="s">
        <v>2735</v>
      </c>
    </row>
    <row r="210" spans="2:2">
      <c r="B210" s="13" t="s">
        <v>2735</v>
      </c>
    </row>
    <row r="211" spans="2:2">
      <c r="B211" s="13" t="s">
        <v>2735</v>
      </c>
    </row>
    <row r="212" spans="2:2">
      <c r="B212" s="13" t="s">
        <v>2735</v>
      </c>
    </row>
    <row r="213" spans="2:2">
      <c r="B213" s="13" t="s">
        <v>2735</v>
      </c>
    </row>
    <row r="214" spans="2:2">
      <c r="B214" s="13" t="s">
        <v>2735</v>
      </c>
    </row>
    <row r="215" spans="2:2">
      <c r="B215" s="13" t="s">
        <v>2735</v>
      </c>
    </row>
    <row r="216" spans="2:2">
      <c r="B216" s="13" t="s">
        <v>2735</v>
      </c>
    </row>
    <row r="217" spans="2:2">
      <c r="B217" s="13" t="s">
        <v>2735</v>
      </c>
    </row>
    <row r="218" spans="2:2">
      <c r="B218" s="13" t="s">
        <v>2735</v>
      </c>
    </row>
    <row r="219" spans="2:2">
      <c r="B219" s="13" t="s">
        <v>2735</v>
      </c>
    </row>
    <row r="220" spans="2:2">
      <c r="B220" s="13" t="s">
        <v>2735</v>
      </c>
    </row>
    <row r="221" spans="2:2">
      <c r="B221" s="13" t="s">
        <v>2735</v>
      </c>
    </row>
    <row r="222" spans="2:2">
      <c r="B222" s="13" t="s">
        <v>2735</v>
      </c>
    </row>
    <row r="223" spans="2:2">
      <c r="B223" s="13" t="s">
        <v>2735</v>
      </c>
    </row>
    <row r="224" spans="2:2">
      <c r="B224" s="13" t="s">
        <v>2735</v>
      </c>
    </row>
    <row r="225" spans="2:2">
      <c r="B225" s="13" t="s">
        <v>2735</v>
      </c>
    </row>
    <row r="226" spans="2:2">
      <c r="B226" s="13" t="s">
        <v>2735</v>
      </c>
    </row>
    <row r="227" spans="2:2">
      <c r="B227" s="13" t="s">
        <v>2735</v>
      </c>
    </row>
    <row r="228" spans="2:2">
      <c r="B228" s="13" t="s">
        <v>2735</v>
      </c>
    </row>
    <row r="229" spans="2:2">
      <c r="B229" s="13" t="s">
        <v>2735</v>
      </c>
    </row>
    <row r="230" spans="2:2">
      <c r="B230" s="13" t="s">
        <v>2735</v>
      </c>
    </row>
    <row r="231" spans="2:2">
      <c r="B231" s="13" t="s">
        <v>2735</v>
      </c>
    </row>
    <row r="232" spans="2:2">
      <c r="B232" s="13" t="s">
        <v>2735</v>
      </c>
    </row>
    <row r="233" spans="2:2">
      <c r="B233" s="13" t="s">
        <v>2735</v>
      </c>
    </row>
    <row r="234" spans="2:2">
      <c r="B234" s="13" t="s">
        <v>2735</v>
      </c>
    </row>
    <row r="235" spans="2:2">
      <c r="B235" s="13" t="s">
        <v>2735</v>
      </c>
    </row>
    <row r="236" spans="2:2">
      <c r="B236" s="13" t="s">
        <v>2735</v>
      </c>
    </row>
    <row r="237" spans="2:2">
      <c r="B237" s="13" t="s">
        <v>2735</v>
      </c>
    </row>
    <row r="238" spans="2:2">
      <c r="B238" s="13" t="s">
        <v>2735</v>
      </c>
    </row>
    <row r="311" spans="2:2">
      <c r="B311" s="13" t="s">
        <v>2735</v>
      </c>
    </row>
  </sheetData>
  <hyperlinks>
    <hyperlink ref="A59" r:id="rId1" display="http://www.westlaw.com/Find/Default.wl?rs=dfa1.0&amp;vr=2.0&amp;DB=506&amp;FindType=Y&amp;SerialNum=1999223697"/>
    <hyperlink ref="A60" r:id="rId2" display="http://www.westlaw.com/Find/Default.wl?rs=dfa1.0&amp;vr=2.0&amp;DB=506&amp;FindType=Y&amp;SerialNum=1999214298"/>
    <hyperlink ref="A21" r:id="rId3" display="http://www.westlaw.com/Find/Default.wl?rs=dfa1.0&amp;vr=2.0&amp;DB=506&amp;FindType=Y&amp;SerialNum=2000036875"/>
    <hyperlink ref="A61" r:id="rId4" display="http://www.westlaw.com/Find/Default.wl?rs=dfa1.0&amp;vr=2.0&amp;DB=506&amp;FindType=Y&amp;SerialNum=1999204920"/>
    <hyperlink ref="A22" r:id="rId5" display="http://www.westlaw.com/Find/Default.wl?rs=dfa1.0&amp;vr=2.0&amp;DB=506&amp;FindType=Y&amp;SerialNum=1999202586"/>
    <hyperlink ref="A62" r:id="rId6" display="http://www.westlaw.com/Find/Default.wl?rs=dfa1.0&amp;vr=2.0&amp;DB=506&amp;FindType=Y&amp;SerialNum=1999201697"/>
    <hyperlink ref="A63" r:id="rId7" display="http://www.westlaw.com/Find/Default.wl?rs=dfa1.0&amp;vr=2.0&amp;DB=506&amp;FindType=Y&amp;SerialNum=1999199148"/>
    <hyperlink ref="A64" r:id="rId8" display="http://www.westlaw.com/Find/Default.wl?rs=dfa1.0&amp;vr=2.0&amp;DB=506&amp;FindType=Y&amp;SerialNum=1999199219"/>
    <hyperlink ref="A65" r:id="rId9" display="http://www.westlaw.com/Find/Default.wl?rs=dfa1.0&amp;vr=2.0&amp;DB=506&amp;FindType=Y&amp;SerialNum=1999197354"/>
    <hyperlink ref="A23" r:id="rId10" display="http://www.westlaw.com/Find/Default.wl?rs=dfa1.0&amp;vr=2.0&amp;FindType=Y&amp;SerialNum=2009358428"/>
    <hyperlink ref="A66" r:id="rId11" display="http://www.westlaw.com/Find/Default.wl?rs=dfa1.0&amp;vr=2.0&amp;DB=506&amp;FindType=Y&amp;SerialNum=1999187418"/>
    <hyperlink ref="A67" r:id="rId12" display="http://www.westlaw.com/Find/Default.wl?rs=dfa1.0&amp;vr=2.0&amp;DB=506&amp;FindType=Y&amp;SerialNum=1999183945"/>
    <hyperlink ref="A68" r:id="rId13" display="http://www.westlaw.com/Find/Default.wl?rs=dfa1.0&amp;vr=2.0&amp;DB=506&amp;FindType=Y&amp;SerialNum=1999181596"/>
    <hyperlink ref="A69" r:id="rId14" display="http://www.westlaw.com/Find/Default.wl?rs=dfa1.0&amp;vr=2.0&amp;DB=506&amp;FindType=Y&amp;SerialNum=1999178765"/>
    <hyperlink ref="A44" r:id="rId15" display="http://www.westlaw.com/Find/Default.wl?rs=dfa1.0&amp;vr=2.0&amp;DB=506&amp;FindType=Y&amp;SerialNum=1999178766"/>
    <hyperlink ref="A55" r:id="rId16" display="http://www.westlaw.com/Find/Default.wl?rs=dfa1.0&amp;vr=2.0&amp;DB=506&amp;FindType=Y&amp;SerialNum=1999173251"/>
    <hyperlink ref="A70" r:id="rId17" display="http://www.westlaw.com/Find/Default.wl?rs=dfa1.0&amp;vr=2.0&amp;DB=506&amp;FindType=Y&amp;SerialNum=1999168320"/>
    <hyperlink ref="A71" r:id="rId18" display="http://www.westlaw.com/Find/Default.wl?rs=dfa1.0&amp;vr=2.0&amp;DB=506&amp;FindType=Y&amp;SerialNum=1999166709"/>
    <hyperlink ref="A72" r:id="rId19" display="http://www.westlaw.com/Find/Default.wl?rs=dfa1.0&amp;vr=2.0&amp;DB=506&amp;FindType=Y&amp;SerialNum=1999162825"/>
    <hyperlink ref="A24" r:id="rId20" display="http://www.westlaw.com/Find/Default.wl?rs=dfa1.0&amp;vr=2.0&amp;DB=506&amp;FindType=Y&amp;SerialNum=1999233831"/>
    <hyperlink ref="A73" r:id="rId21" display="http://www.westlaw.com/Find/Default.wl?rs=dfa1.0&amp;vr=2.0&amp;DB=506&amp;FindType=Y&amp;SerialNum=1999154377"/>
    <hyperlink ref="A25" r:id="rId22" display="http://www.westlaw.com/Find/Default.wl?rs=dfa1.0&amp;vr=2.0&amp;DB=506&amp;FindType=Y&amp;SerialNum=1999154378"/>
    <hyperlink ref="A74" r:id="rId23" display="http://www.westlaw.com/Find/Default.wl?rs=dfa1.0&amp;vr=2.0&amp;DB=506&amp;FindType=Y&amp;SerialNum=1999154383"/>
    <hyperlink ref="A75" r:id="rId24" display="http://www.westlaw.com/Find/Default.wl?rs=dfa1.0&amp;vr=2.0&amp;DB=506&amp;FindType=Y&amp;SerialNum=1999153226"/>
    <hyperlink ref="A26" r:id="rId25" display="http://www.westlaw.com/Find/Default.wl?rs=dfa1.0&amp;vr=2.0&amp;DB=506&amp;FindType=Y&amp;SerialNum=1999153363"/>
    <hyperlink ref="A27" r:id="rId26" display="http://www.westlaw.com/Find/Default.wl?rs=dfa1.0&amp;vr=2.0&amp;DB=506&amp;FindType=Y&amp;SerialNum=1999153366"/>
    <hyperlink ref="A76" r:id="rId27" display="http://www.westlaw.com/Find/Default.wl?rs=dfa1.0&amp;vr=2.0&amp;DB=506&amp;FindType=Y&amp;SerialNum=1999150594"/>
    <hyperlink ref="A28" r:id="rId28" display="http://www.westlaw.com/Find/Default.wl?rs=dfa1.0&amp;vr=2.0&amp;DB=506&amp;FindType=Y&amp;SerialNum=1999150595"/>
    <hyperlink ref="A77" r:id="rId29" display="http://www.westlaw.com/Find/Default.wl?rs=dfa1.0&amp;vr=2.0&amp;DB=506&amp;FindType=Y&amp;SerialNum=1999150597"/>
    <hyperlink ref="A78" r:id="rId30" display="http://www.westlaw.com/Find/Default.wl?rs=dfa1.0&amp;vr=2.0&amp;DB=506&amp;FindType=Y&amp;SerialNum=1999144199"/>
    <hyperlink ref="A29" r:id="rId31" display="http://www.westlaw.com/Find/Default.wl?rs=dfa1.0&amp;vr=2.0&amp;DB=506&amp;FindType=Y&amp;SerialNum=1999143277"/>
    <hyperlink ref="A79" r:id="rId32" display="http://www.westlaw.com/Find/Default.wl?rs=dfa1.0&amp;vr=2.0&amp;DB=506&amp;FindType=Y&amp;SerialNum=1999137666"/>
    <hyperlink ref="A30" r:id="rId33" display="http://www.westlaw.com/Find/Default.wl?rs=dfa1.0&amp;vr=2.0&amp;DB=506&amp;FindType=Y&amp;SerialNum=1999132361"/>
    <hyperlink ref="A31" r:id="rId34" display="http://www.westlaw.com/Find/Default.wl?rs=dfa1.0&amp;vr=2.0&amp;DB=506&amp;FindType=Y&amp;SerialNum=1999129333"/>
    <hyperlink ref="A32" r:id="rId35" display="http://www.westlaw.com/Find/Default.wl?rs=dfa1.0&amp;vr=2.0&amp;DB=506&amp;FindType=Y&amp;SerialNum=1999124154"/>
    <hyperlink ref="A80" r:id="rId36" display="http://www.westlaw.com/Find/Default.wl?rs=dfa1.0&amp;vr=2.0&amp;DB=506&amp;FindType=Y&amp;SerialNum=1999117819"/>
    <hyperlink ref="A81" r:id="rId37" display="http://www.westlaw.com/Find/Default.wl?rs=dfa1.0&amp;vr=2.0&amp;DB=506&amp;FindType=Y&amp;SerialNum=1999115030"/>
    <hyperlink ref="A56" r:id="rId38" display="http://www.westlaw.com/Find/Default.wl?rs=dfa1.0&amp;vr=2.0&amp;DB=506&amp;FindType=Y&amp;SerialNum=1999110491"/>
    <hyperlink ref="A82" r:id="rId39" display="http://www.westlaw.com/Find/Default.wl?rs=dfa1.0&amp;vr=2.0&amp;DB=506&amp;FindType=Y&amp;SerialNum=1999100533"/>
    <hyperlink ref="A33" r:id="rId40" display="http://www.westlaw.com/Find/Default.wl?rs=dfa1.0&amp;vr=2.0&amp;DB=506&amp;FindType=Y&amp;SerialNum=1999094944"/>
    <hyperlink ref="A83" r:id="rId41" display="http://www.westlaw.com/Find/Default.wl?rs=dfa1.0&amp;vr=2.0&amp;DB=506&amp;FindType=Y&amp;SerialNum=1999095890"/>
    <hyperlink ref="A34" r:id="rId42" display="http://www.westlaw.com/Find/Default.wl?rs=dfa1.0&amp;vr=2.0&amp;DB=506&amp;FindType=Y&amp;SerialNum=1999250489"/>
    <hyperlink ref="A49" r:id="rId43" display="http://www.westlaw.com/Find/Default.wl?rs=dfa1.0&amp;vr=2.0&amp;DB=506&amp;FindType=Y&amp;SerialNum=1999099122"/>
    <hyperlink ref="A84" r:id="rId44" display="http://www.westlaw.com/Find/Default.wl?rs=dfa1.0&amp;vr=2.0&amp;DB=506&amp;FindType=Y&amp;SerialNum=1999090196"/>
    <hyperlink ref="A85" r:id="rId45" display="http://www.westlaw.com/Find/Default.wl?rs=dfa1.0&amp;vr=2.0&amp;DB=506&amp;FindType=Y&amp;SerialNum=1999072269"/>
    <hyperlink ref="A35" r:id="rId46" display="http://www.westlaw.com/Find/Default.wl?rs=dfa1.0&amp;vr=2.0&amp;DB=506&amp;FindType=Y&amp;SerialNum=1999073969"/>
    <hyperlink ref="A36" r:id="rId47" display="http://www.westlaw.com/Find/Default.wl?rs=dfa1.0&amp;vr=2.0&amp;DB=506&amp;FindType=Y&amp;SerialNum=1999064604"/>
    <hyperlink ref="A86" r:id="rId48" display="http://www.westlaw.com/Find/Default.wl?rs=dfa1.0&amp;vr=2.0&amp;DB=506&amp;FindType=Y&amp;SerialNum=1999061938"/>
    <hyperlink ref="A43" r:id="rId49" display="http://www.westlaw.com/Find/Default.wl?rs=dfa1.0&amp;vr=2.0&amp;DB=506&amp;FindType=Y&amp;SerialNum=1999059978"/>
    <hyperlink ref="A50" r:id="rId50" display="http://www.westlaw.com/Find/Default.wl?rs=dfa1.0&amp;vr=2.0&amp;DB=506&amp;FindType=Y&amp;SerialNum=1999043827"/>
    <hyperlink ref="A54" r:id="rId51" display="http://www.westlaw.com/Find/Default.wl?rs=dfa1.0&amp;vr=2.0&amp;DB=506&amp;FindType=Y&amp;SerialNum=1999038824"/>
    <hyperlink ref="A37" r:id="rId52" display="http://www.westlaw.com/Find/Default.wl?rs=dfa1.0&amp;vr=2.0&amp;DB=506&amp;FindType=Y&amp;SerialNum=1999035051"/>
    <hyperlink ref="A38" r:id="rId53" display="http://www.westlaw.com/Find/Default.wl?rs=dfa1.0&amp;vr=2.0&amp;DB=506&amp;FindType=Y&amp;SerialNum=1999035055"/>
    <hyperlink ref="A87" r:id="rId54" display="http://www.westlaw.com/Find/Default.wl?rs=dfa1.0&amp;vr=2.0&amp;DB=506&amp;FindType=Y&amp;SerialNum=1999027796"/>
    <hyperlink ref="A39" r:id="rId55" display="http://www.westlaw.com/Find/Default.wl?rs=dfa1.0&amp;vr=2.0&amp;DB=506&amp;FindType=Y&amp;SerialNum=1998260746"/>
    <hyperlink ref="A88" r:id="rId56" display="http://www.westlaw.com/Find/Default.wl?rs=dfa1.0&amp;vr=2.0&amp;DB=506&amp;FindType=Y&amp;SerialNum=1998258958"/>
    <hyperlink ref="A40" r:id="rId57" display="http://www.westlaw.com/Find/Default.wl?rs=dfa1.0&amp;vr=2.0&amp;DB=506&amp;FindType=Y&amp;SerialNum=1998256247"/>
    <hyperlink ref="A89" r:id="rId58" display="http://www.westlaw.com/Find/Default.wl?rs=dfa1.0&amp;vr=2.0&amp;DB=506&amp;FindType=Y&amp;SerialNum=1998255532"/>
    <hyperlink ref="A51" r:id="rId59" display="http://www.westlaw.com/Find/Default.wl?rs=dfa1.0&amp;vr=2.0&amp;DB=506&amp;FindType=Y&amp;SerialNum=1998254564"/>
    <hyperlink ref="A90" r:id="rId60" display="http://www.westlaw.com/Find/Default.wl?rs=dfa1.0&amp;vr=2.0&amp;DB=506&amp;FindType=Y&amp;SerialNum=1998253577"/>
    <hyperlink ref="A48" r:id="rId61" display="http://www.westlaw.com/Find/Default.wl?rs=dfa1.0&amp;vr=2.0&amp;DB=506&amp;FindType=Y&amp;SerialNum=1998251161"/>
    <hyperlink ref="A91" r:id="rId62" display="http://www.westlaw.com/Find/Default.wl?rs=dfa1.0&amp;vr=2.0&amp;DB=506&amp;FindType=Y&amp;SerialNum=1998251186"/>
    <hyperlink ref="A92" r:id="rId63" display="http://www.westlaw.com/Find/Default.wl?rs=dfa1.0&amp;vr=2.0&amp;FindType=Y&amp;SerialNum=2007310456"/>
    <hyperlink ref="A93" r:id="rId64" display="http://www.westlaw.com/Find/Default.wl?rs=dfa1.0&amp;vr=2.0&amp;DB=506&amp;FindType=Y&amp;SerialNum=1998228406"/>
    <hyperlink ref="A45" r:id="rId65" display="http://www.westlaw.com/Find/Default.wl?rs=dfa1.0&amp;vr=2.0&amp;DB=506&amp;FindType=Y&amp;SerialNum=1998226135"/>
    <hyperlink ref="A94" r:id="rId66" display="http://www.westlaw.com/Find/Default.wl?rs=dfa1.0&amp;vr=2.0&amp;DB=506&amp;FindType=Y&amp;SerialNum=1998221919"/>
    <hyperlink ref="A95" r:id="rId67" display="http://www.westlaw.com/Find/Default.wl?rs=dfa1.0&amp;vr=2.0&amp;DB=506&amp;FindType=Y&amp;SerialNum=1998221125"/>
    <hyperlink ref="A96" r:id="rId68" display="http://www.westlaw.com/Find/Default.wl?rs=dfa1.0&amp;vr=2.0&amp;DB=506&amp;FindType=Y&amp;SerialNum=1998210692"/>
    <hyperlink ref="A100" r:id="rId69" display="http://www.westlaw.com/Find/Default.wl?rs=dfa1.0&amp;vr=2.0&amp;DB=780&amp;FindType=Y&amp;SerialNum=1999089458"/>
    <hyperlink ref="A101" r:id="rId70" display="http://www.westlaw.com/Find/Default.wl?rs=dfa1.0&amp;vr=2.0&amp;DB=4637&amp;FindType=Y&amp;SerialNum=1999209257"/>
    <hyperlink ref="A102" r:id="rId71" display="http://www.westlaw.com/Find/Default.wl?rs=dfa1.0&amp;vr=2.0&amp;DB=4637&amp;FindType=Y&amp;SerialNum=2000100466"/>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zoomScale="85" zoomScaleNormal="85" zoomScalePageLayoutView="85" workbookViewId="0"/>
  </sheetViews>
  <sheetFormatPr baseColWidth="10" defaultColWidth="9.1640625" defaultRowHeight="14" x14ac:dyDescent="0"/>
  <cols>
    <col min="1" max="1" width="9.1640625" style="13" customWidth="1"/>
    <col min="2" max="2" width="20.5" style="13" customWidth="1"/>
    <col min="3" max="3" width="23.5" style="13" customWidth="1"/>
    <col min="4" max="4" width="10.5" style="13" customWidth="1"/>
    <col min="5" max="5" width="14.1640625" style="13" customWidth="1"/>
    <col min="6" max="6" width="7.83203125" style="13" customWidth="1"/>
    <col min="7" max="7" width="13.83203125" style="13" customWidth="1"/>
    <col min="8" max="8" width="20.83203125" style="13" customWidth="1"/>
    <col min="9" max="9" width="18.1640625" style="13" customWidth="1"/>
    <col min="10" max="10" width="9.1640625" style="13" customWidth="1"/>
    <col min="11" max="256" width="9.1640625" style="13"/>
    <col min="257" max="257" width="9.1640625" style="13" customWidth="1"/>
    <col min="258" max="258" width="20.5" style="13" customWidth="1"/>
    <col min="259" max="259" width="23.5" style="13" customWidth="1"/>
    <col min="260" max="260" width="10.5" style="13" customWidth="1"/>
    <col min="261" max="261" width="14.1640625" style="13" customWidth="1"/>
    <col min="262" max="262" width="7.83203125" style="13" customWidth="1"/>
    <col min="263" max="263" width="13.83203125" style="13" customWidth="1"/>
    <col min="264" max="264" width="20.83203125" style="13" customWidth="1"/>
    <col min="265" max="265" width="18.1640625" style="13" customWidth="1"/>
    <col min="266" max="266" width="9.1640625" style="13" customWidth="1"/>
    <col min="267" max="512" width="9.1640625" style="13"/>
    <col min="513" max="513" width="9.1640625" style="13" customWidth="1"/>
    <col min="514" max="514" width="20.5" style="13" customWidth="1"/>
    <col min="515" max="515" width="23.5" style="13" customWidth="1"/>
    <col min="516" max="516" width="10.5" style="13" customWidth="1"/>
    <col min="517" max="517" width="14.1640625" style="13" customWidth="1"/>
    <col min="518" max="518" width="7.83203125" style="13" customWidth="1"/>
    <col min="519" max="519" width="13.83203125" style="13" customWidth="1"/>
    <col min="520" max="520" width="20.83203125" style="13" customWidth="1"/>
    <col min="521" max="521" width="18.1640625" style="13" customWidth="1"/>
    <col min="522" max="522" width="9.1640625" style="13" customWidth="1"/>
    <col min="523" max="768" width="9.1640625" style="13"/>
    <col min="769" max="769" width="9.1640625" style="13" customWidth="1"/>
    <col min="770" max="770" width="20.5" style="13" customWidth="1"/>
    <col min="771" max="771" width="23.5" style="13" customWidth="1"/>
    <col min="772" max="772" width="10.5" style="13" customWidth="1"/>
    <col min="773" max="773" width="14.1640625" style="13" customWidth="1"/>
    <col min="774" max="774" width="7.83203125" style="13" customWidth="1"/>
    <col min="775" max="775" width="13.83203125" style="13" customWidth="1"/>
    <col min="776" max="776" width="20.83203125" style="13" customWidth="1"/>
    <col min="777" max="777" width="18.1640625" style="13" customWidth="1"/>
    <col min="778" max="778" width="9.1640625" style="13" customWidth="1"/>
    <col min="779" max="1024" width="9.1640625" style="13"/>
    <col min="1025" max="1025" width="9.1640625" style="13" customWidth="1"/>
    <col min="1026" max="1026" width="20.5" style="13" customWidth="1"/>
    <col min="1027" max="1027" width="23.5" style="13" customWidth="1"/>
    <col min="1028" max="1028" width="10.5" style="13" customWidth="1"/>
    <col min="1029" max="1029" width="14.1640625" style="13" customWidth="1"/>
    <col min="1030" max="1030" width="7.83203125" style="13" customWidth="1"/>
    <col min="1031" max="1031" width="13.83203125" style="13" customWidth="1"/>
    <col min="1032" max="1032" width="20.83203125" style="13" customWidth="1"/>
    <col min="1033" max="1033" width="18.1640625" style="13" customWidth="1"/>
    <col min="1034" max="1034" width="9.1640625" style="13" customWidth="1"/>
    <col min="1035" max="1280" width="9.1640625" style="13"/>
    <col min="1281" max="1281" width="9.1640625" style="13" customWidth="1"/>
    <col min="1282" max="1282" width="20.5" style="13" customWidth="1"/>
    <col min="1283" max="1283" width="23.5" style="13" customWidth="1"/>
    <col min="1284" max="1284" width="10.5" style="13" customWidth="1"/>
    <col min="1285" max="1285" width="14.1640625" style="13" customWidth="1"/>
    <col min="1286" max="1286" width="7.83203125" style="13" customWidth="1"/>
    <col min="1287" max="1287" width="13.83203125" style="13" customWidth="1"/>
    <col min="1288" max="1288" width="20.83203125" style="13" customWidth="1"/>
    <col min="1289" max="1289" width="18.1640625" style="13" customWidth="1"/>
    <col min="1290" max="1290" width="9.1640625" style="13" customWidth="1"/>
    <col min="1291" max="1536" width="9.1640625" style="13"/>
    <col min="1537" max="1537" width="9.1640625" style="13" customWidth="1"/>
    <col min="1538" max="1538" width="20.5" style="13" customWidth="1"/>
    <col min="1539" max="1539" width="23.5" style="13" customWidth="1"/>
    <col min="1540" max="1540" width="10.5" style="13" customWidth="1"/>
    <col min="1541" max="1541" width="14.1640625" style="13" customWidth="1"/>
    <col min="1542" max="1542" width="7.83203125" style="13" customWidth="1"/>
    <col min="1543" max="1543" width="13.83203125" style="13" customWidth="1"/>
    <col min="1544" max="1544" width="20.83203125" style="13" customWidth="1"/>
    <col min="1545" max="1545" width="18.1640625" style="13" customWidth="1"/>
    <col min="1546" max="1546" width="9.1640625" style="13" customWidth="1"/>
    <col min="1547" max="1792" width="9.1640625" style="13"/>
    <col min="1793" max="1793" width="9.1640625" style="13" customWidth="1"/>
    <col min="1794" max="1794" width="20.5" style="13" customWidth="1"/>
    <col min="1795" max="1795" width="23.5" style="13" customWidth="1"/>
    <col min="1796" max="1796" width="10.5" style="13" customWidth="1"/>
    <col min="1797" max="1797" width="14.1640625" style="13" customWidth="1"/>
    <col min="1798" max="1798" width="7.83203125" style="13" customWidth="1"/>
    <col min="1799" max="1799" width="13.83203125" style="13" customWidth="1"/>
    <col min="1800" max="1800" width="20.83203125" style="13" customWidth="1"/>
    <col min="1801" max="1801" width="18.1640625" style="13" customWidth="1"/>
    <col min="1802" max="1802" width="9.1640625" style="13" customWidth="1"/>
    <col min="1803" max="2048" width="9.1640625" style="13"/>
    <col min="2049" max="2049" width="9.1640625" style="13" customWidth="1"/>
    <col min="2050" max="2050" width="20.5" style="13" customWidth="1"/>
    <col min="2051" max="2051" width="23.5" style="13" customWidth="1"/>
    <col min="2052" max="2052" width="10.5" style="13" customWidth="1"/>
    <col min="2053" max="2053" width="14.1640625" style="13" customWidth="1"/>
    <col min="2054" max="2054" width="7.83203125" style="13" customWidth="1"/>
    <col min="2055" max="2055" width="13.83203125" style="13" customWidth="1"/>
    <col min="2056" max="2056" width="20.83203125" style="13" customWidth="1"/>
    <col min="2057" max="2057" width="18.1640625" style="13" customWidth="1"/>
    <col min="2058" max="2058" width="9.1640625" style="13" customWidth="1"/>
    <col min="2059" max="2304" width="9.1640625" style="13"/>
    <col min="2305" max="2305" width="9.1640625" style="13" customWidth="1"/>
    <col min="2306" max="2306" width="20.5" style="13" customWidth="1"/>
    <col min="2307" max="2307" width="23.5" style="13" customWidth="1"/>
    <col min="2308" max="2308" width="10.5" style="13" customWidth="1"/>
    <col min="2309" max="2309" width="14.1640625" style="13" customWidth="1"/>
    <col min="2310" max="2310" width="7.83203125" style="13" customWidth="1"/>
    <col min="2311" max="2311" width="13.83203125" style="13" customWidth="1"/>
    <col min="2312" max="2312" width="20.83203125" style="13" customWidth="1"/>
    <col min="2313" max="2313" width="18.1640625" style="13" customWidth="1"/>
    <col min="2314" max="2314" width="9.1640625" style="13" customWidth="1"/>
    <col min="2315" max="2560" width="9.1640625" style="13"/>
    <col min="2561" max="2561" width="9.1640625" style="13" customWidth="1"/>
    <col min="2562" max="2562" width="20.5" style="13" customWidth="1"/>
    <col min="2563" max="2563" width="23.5" style="13" customWidth="1"/>
    <col min="2564" max="2564" width="10.5" style="13" customWidth="1"/>
    <col min="2565" max="2565" width="14.1640625" style="13" customWidth="1"/>
    <col min="2566" max="2566" width="7.83203125" style="13" customWidth="1"/>
    <col min="2567" max="2567" width="13.83203125" style="13" customWidth="1"/>
    <col min="2568" max="2568" width="20.83203125" style="13" customWidth="1"/>
    <col min="2569" max="2569" width="18.1640625" style="13" customWidth="1"/>
    <col min="2570" max="2570" width="9.1640625" style="13" customWidth="1"/>
    <col min="2571" max="2816" width="9.1640625" style="13"/>
    <col min="2817" max="2817" width="9.1640625" style="13" customWidth="1"/>
    <col min="2818" max="2818" width="20.5" style="13" customWidth="1"/>
    <col min="2819" max="2819" width="23.5" style="13" customWidth="1"/>
    <col min="2820" max="2820" width="10.5" style="13" customWidth="1"/>
    <col min="2821" max="2821" width="14.1640625" style="13" customWidth="1"/>
    <col min="2822" max="2822" width="7.83203125" style="13" customWidth="1"/>
    <col min="2823" max="2823" width="13.83203125" style="13" customWidth="1"/>
    <col min="2824" max="2824" width="20.83203125" style="13" customWidth="1"/>
    <col min="2825" max="2825" width="18.1640625" style="13" customWidth="1"/>
    <col min="2826" max="2826" width="9.1640625" style="13" customWidth="1"/>
    <col min="2827" max="3072" width="9.1640625" style="13"/>
    <col min="3073" max="3073" width="9.1640625" style="13" customWidth="1"/>
    <col min="3074" max="3074" width="20.5" style="13" customWidth="1"/>
    <col min="3075" max="3075" width="23.5" style="13" customWidth="1"/>
    <col min="3076" max="3076" width="10.5" style="13" customWidth="1"/>
    <col min="3077" max="3077" width="14.1640625" style="13" customWidth="1"/>
    <col min="3078" max="3078" width="7.83203125" style="13" customWidth="1"/>
    <col min="3079" max="3079" width="13.83203125" style="13" customWidth="1"/>
    <col min="3080" max="3080" width="20.83203125" style="13" customWidth="1"/>
    <col min="3081" max="3081" width="18.1640625" style="13" customWidth="1"/>
    <col min="3082" max="3082" width="9.1640625" style="13" customWidth="1"/>
    <col min="3083" max="3328" width="9.1640625" style="13"/>
    <col min="3329" max="3329" width="9.1640625" style="13" customWidth="1"/>
    <col min="3330" max="3330" width="20.5" style="13" customWidth="1"/>
    <col min="3331" max="3331" width="23.5" style="13" customWidth="1"/>
    <col min="3332" max="3332" width="10.5" style="13" customWidth="1"/>
    <col min="3333" max="3333" width="14.1640625" style="13" customWidth="1"/>
    <col min="3334" max="3334" width="7.83203125" style="13" customWidth="1"/>
    <col min="3335" max="3335" width="13.83203125" style="13" customWidth="1"/>
    <col min="3336" max="3336" width="20.83203125" style="13" customWidth="1"/>
    <col min="3337" max="3337" width="18.1640625" style="13" customWidth="1"/>
    <col min="3338" max="3338" width="9.1640625" style="13" customWidth="1"/>
    <col min="3339" max="3584" width="9.1640625" style="13"/>
    <col min="3585" max="3585" width="9.1640625" style="13" customWidth="1"/>
    <col min="3586" max="3586" width="20.5" style="13" customWidth="1"/>
    <col min="3587" max="3587" width="23.5" style="13" customWidth="1"/>
    <col min="3588" max="3588" width="10.5" style="13" customWidth="1"/>
    <col min="3589" max="3589" width="14.1640625" style="13" customWidth="1"/>
    <col min="3590" max="3590" width="7.83203125" style="13" customWidth="1"/>
    <col min="3591" max="3591" width="13.83203125" style="13" customWidth="1"/>
    <col min="3592" max="3592" width="20.83203125" style="13" customWidth="1"/>
    <col min="3593" max="3593" width="18.1640625" style="13" customWidth="1"/>
    <col min="3594" max="3594" width="9.1640625" style="13" customWidth="1"/>
    <col min="3595" max="3840" width="9.1640625" style="13"/>
    <col min="3841" max="3841" width="9.1640625" style="13" customWidth="1"/>
    <col min="3842" max="3842" width="20.5" style="13" customWidth="1"/>
    <col min="3843" max="3843" width="23.5" style="13" customWidth="1"/>
    <col min="3844" max="3844" width="10.5" style="13" customWidth="1"/>
    <col min="3845" max="3845" width="14.1640625" style="13" customWidth="1"/>
    <col min="3846" max="3846" width="7.83203125" style="13" customWidth="1"/>
    <col min="3847" max="3847" width="13.83203125" style="13" customWidth="1"/>
    <col min="3848" max="3848" width="20.83203125" style="13" customWidth="1"/>
    <col min="3849" max="3849" width="18.1640625" style="13" customWidth="1"/>
    <col min="3850" max="3850" width="9.1640625" style="13" customWidth="1"/>
    <col min="3851" max="4096" width="9.1640625" style="13"/>
    <col min="4097" max="4097" width="9.1640625" style="13" customWidth="1"/>
    <col min="4098" max="4098" width="20.5" style="13" customWidth="1"/>
    <col min="4099" max="4099" width="23.5" style="13" customWidth="1"/>
    <col min="4100" max="4100" width="10.5" style="13" customWidth="1"/>
    <col min="4101" max="4101" width="14.1640625" style="13" customWidth="1"/>
    <col min="4102" max="4102" width="7.83203125" style="13" customWidth="1"/>
    <col min="4103" max="4103" width="13.83203125" style="13" customWidth="1"/>
    <col min="4104" max="4104" width="20.83203125" style="13" customWidth="1"/>
    <col min="4105" max="4105" width="18.1640625" style="13" customWidth="1"/>
    <col min="4106" max="4106" width="9.1640625" style="13" customWidth="1"/>
    <col min="4107" max="4352" width="9.1640625" style="13"/>
    <col min="4353" max="4353" width="9.1640625" style="13" customWidth="1"/>
    <col min="4354" max="4354" width="20.5" style="13" customWidth="1"/>
    <col min="4355" max="4355" width="23.5" style="13" customWidth="1"/>
    <col min="4356" max="4356" width="10.5" style="13" customWidth="1"/>
    <col min="4357" max="4357" width="14.1640625" style="13" customWidth="1"/>
    <col min="4358" max="4358" width="7.83203125" style="13" customWidth="1"/>
    <col min="4359" max="4359" width="13.83203125" style="13" customWidth="1"/>
    <col min="4360" max="4360" width="20.83203125" style="13" customWidth="1"/>
    <col min="4361" max="4361" width="18.1640625" style="13" customWidth="1"/>
    <col min="4362" max="4362" width="9.1640625" style="13" customWidth="1"/>
    <col min="4363" max="4608" width="9.1640625" style="13"/>
    <col min="4609" max="4609" width="9.1640625" style="13" customWidth="1"/>
    <col min="4610" max="4610" width="20.5" style="13" customWidth="1"/>
    <col min="4611" max="4611" width="23.5" style="13" customWidth="1"/>
    <col min="4612" max="4612" width="10.5" style="13" customWidth="1"/>
    <col min="4613" max="4613" width="14.1640625" style="13" customWidth="1"/>
    <col min="4614" max="4614" width="7.83203125" style="13" customWidth="1"/>
    <col min="4615" max="4615" width="13.83203125" style="13" customWidth="1"/>
    <col min="4616" max="4616" width="20.83203125" style="13" customWidth="1"/>
    <col min="4617" max="4617" width="18.1640625" style="13" customWidth="1"/>
    <col min="4618" max="4618" width="9.1640625" style="13" customWidth="1"/>
    <col min="4619" max="4864" width="9.1640625" style="13"/>
    <col min="4865" max="4865" width="9.1640625" style="13" customWidth="1"/>
    <col min="4866" max="4866" width="20.5" style="13" customWidth="1"/>
    <col min="4867" max="4867" width="23.5" style="13" customWidth="1"/>
    <col min="4868" max="4868" width="10.5" style="13" customWidth="1"/>
    <col min="4869" max="4869" width="14.1640625" style="13" customWidth="1"/>
    <col min="4870" max="4870" width="7.83203125" style="13" customWidth="1"/>
    <col min="4871" max="4871" width="13.83203125" style="13" customWidth="1"/>
    <col min="4872" max="4872" width="20.83203125" style="13" customWidth="1"/>
    <col min="4873" max="4873" width="18.1640625" style="13" customWidth="1"/>
    <col min="4874" max="4874" width="9.1640625" style="13" customWidth="1"/>
    <col min="4875" max="5120" width="9.1640625" style="13"/>
    <col min="5121" max="5121" width="9.1640625" style="13" customWidth="1"/>
    <col min="5122" max="5122" width="20.5" style="13" customWidth="1"/>
    <col min="5123" max="5123" width="23.5" style="13" customWidth="1"/>
    <col min="5124" max="5124" width="10.5" style="13" customWidth="1"/>
    <col min="5125" max="5125" width="14.1640625" style="13" customWidth="1"/>
    <col min="5126" max="5126" width="7.83203125" style="13" customWidth="1"/>
    <col min="5127" max="5127" width="13.83203125" style="13" customWidth="1"/>
    <col min="5128" max="5128" width="20.83203125" style="13" customWidth="1"/>
    <col min="5129" max="5129" width="18.1640625" style="13" customWidth="1"/>
    <col min="5130" max="5130" width="9.1640625" style="13" customWidth="1"/>
    <col min="5131" max="5376" width="9.1640625" style="13"/>
    <col min="5377" max="5377" width="9.1640625" style="13" customWidth="1"/>
    <col min="5378" max="5378" width="20.5" style="13" customWidth="1"/>
    <col min="5379" max="5379" width="23.5" style="13" customWidth="1"/>
    <col min="5380" max="5380" width="10.5" style="13" customWidth="1"/>
    <col min="5381" max="5381" width="14.1640625" style="13" customWidth="1"/>
    <col min="5382" max="5382" width="7.83203125" style="13" customWidth="1"/>
    <col min="5383" max="5383" width="13.83203125" style="13" customWidth="1"/>
    <col min="5384" max="5384" width="20.83203125" style="13" customWidth="1"/>
    <col min="5385" max="5385" width="18.1640625" style="13" customWidth="1"/>
    <col min="5386" max="5386" width="9.1640625" style="13" customWidth="1"/>
    <col min="5387" max="5632" width="9.1640625" style="13"/>
    <col min="5633" max="5633" width="9.1640625" style="13" customWidth="1"/>
    <col min="5634" max="5634" width="20.5" style="13" customWidth="1"/>
    <col min="5635" max="5635" width="23.5" style="13" customWidth="1"/>
    <col min="5636" max="5636" width="10.5" style="13" customWidth="1"/>
    <col min="5637" max="5637" width="14.1640625" style="13" customWidth="1"/>
    <col min="5638" max="5638" width="7.83203125" style="13" customWidth="1"/>
    <col min="5639" max="5639" width="13.83203125" style="13" customWidth="1"/>
    <col min="5640" max="5640" width="20.83203125" style="13" customWidth="1"/>
    <col min="5641" max="5641" width="18.1640625" style="13" customWidth="1"/>
    <col min="5642" max="5642" width="9.1640625" style="13" customWidth="1"/>
    <col min="5643" max="5888" width="9.1640625" style="13"/>
    <col min="5889" max="5889" width="9.1640625" style="13" customWidth="1"/>
    <col min="5890" max="5890" width="20.5" style="13" customWidth="1"/>
    <col min="5891" max="5891" width="23.5" style="13" customWidth="1"/>
    <col min="5892" max="5892" width="10.5" style="13" customWidth="1"/>
    <col min="5893" max="5893" width="14.1640625" style="13" customWidth="1"/>
    <col min="5894" max="5894" width="7.83203125" style="13" customWidth="1"/>
    <col min="5895" max="5895" width="13.83203125" style="13" customWidth="1"/>
    <col min="5896" max="5896" width="20.83203125" style="13" customWidth="1"/>
    <col min="5897" max="5897" width="18.1640625" style="13" customWidth="1"/>
    <col min="5898" max="5898" width="9.1640625" style="13" customWidth="1"/>
    <col min="5899" max="6144" width="9.1640625" style="13"/>
    <col min="6145" max="6145" width="9.1640625" style="13" customWidth="1"/>
    <col min="6146" max="6146" width="20.5" style="13" customWidth="1"/>
    <col min="6147" max="6147" width="23.5" style="13" customWidth="1"/>
    <col min="6148" max="6148" width="10.5" style="13" customWidth="1"/>
    <col min="6149" max="6149" width="14.1640625" style="13" customWidth="1"/>
    <col min="6150" max="6150" width="7.83203125" style="13" customWidth="1"/>
    <col min="6151" max="6151" width="13.83203125" style="13" customWidth="1"/>
    <col min="6152" max="6152" width="20.83203125" style="13" customWidth="1"/>
    <col min="6153" max="6153" width="18.1640625" style="13" customWidth="1"/>
    <col min="6154" max="6154" width="9.1640625" style="13" customWidth="1"/>
    <col min="6155" max="6400" width="9.1640625" style="13"/>
    <col min="6401" max="6401" width="9.1640625" style="13" customWidth="1"/>
    <col min="6402" max="6402" width="20.5" style="13" customWidth="1"/>
    <col min="6403" max="6403" width="23.5" style="13" customWidth="1"/>
    <col min="6404" max="6404" width="10.5" style="13" customWidth="1"/>
    <col min="6405" max="6405" width="14.1640625" style="13" customWidth="1"/>
    <col min="6406" max="6406" width="7.83203125" style="13" customWidth="1"/>
    <col min="6407" max="6407" width="13.83203125" style="13" customWidth="1"/>
    <col min="6408" max="6408" width="20.83203125" style="13" customWidth="1"/>
    <col min="6409" max="6409" width="18.1640625" style="13" customWidth="1"/>
    <col min="6410" max="6410" width="9.1640625" style="13" customWidth="1"/>
    <col min="6411" max="6656" width="9.1640625" style="13"/>
    <col min="6657" max="6657" width="9.1640625" style="13" customWidth="1"/>
    <col min="6658" max="6658" width="20.5" style="13" customWidth="1"/>
    <col min="6659" max="6659" width="23.5" style="13" customWidth="1"/>
    <col min="6660" max="6660" width="10.5" style="13" customWidth="1"/>
    <col min="6661" max="6661" width="14.1640625" style="13" customWidth="1"/>
    <col min="6662" max="6662" width="7.83203125" style="13" customWidth="1"/>
    <col min="6663" max="6663" width="13.83203125" style="13" customWidth="1"/>
    <col min="6664" max="6664" width="20.83203125" style="13" customWidth="1"/>
    <col min="6665" max="6665" width="18.1640625" style="13" customWidth="1"/>
    <col min="6666" max="6666" width="9.1640625" style="13" customWidth="1"/>
    <col min="6667" max="6912" width="9.1640625" style="13"/>
    <col min="6913" max="6913" width="9.1640625" style="13" customWidth="1"/>
    <col min="6914" max="6914" width="20.5" style="13" customWidth="1"/>
    <col min="6915" max="6915" width="23.5" style="13" customWidth="1"/>
    <col min="6916" max="6916" width="10.5" style="13" customWidth="1"/>
    <col min="6917" max="6917" width="14.1640625" style="13" customWidth="1"/>
    <col min="6918" max="6918" width="7.83203125" style="13" customWidth="1"/>
    <col min="6919" max="6919" width="13.83203125" style="13" customWidth="1"/>
    <col min="6920" max="6920" width="20.83203125" style="13" customWidth="1"/>
    <col min="6921" max="6921" width="18.1640625" style="13" customWidth="1"/>
    <col min="6922" max="6922" width="9.1640625" style="13" customWidth="1"/>
    <col min="6923" max="7168" width="9.1640625" style="13"/>
    <col min="7169" max="7169" width="9.1640625" style="13" customWidth="1"/>
    <col min="7170" max="7170" width="20.5" style="13" customWidth="1"/>
    <col min="7171" max="7171" width="23.5" style="13" customWidth="1"/>
    <col min="7172" max="7172" width="10.5" style="13" customWidth="1"/>
    <col min="7173" max="7173" width="14.1640625" style="13" customWidth="1"/>
    <col min="7174" max="7174" width="7.83203125" style="13" customWidth="1"/>
    <col min="7175" max="7175" width="13.83203125" style="13" customWidth="1"/>
    <col min="7176" max="7176" width="20.83203125" style="13" customWidth="1"/>
    <col min="7177" max="7177" width="18.1640625" style="13" customWidth="1"/>
    <col min="7178" max="7178" width="9.1640625" style="13" customWidth="1"/>
    <col min="7179" max="7424" width="9.1640625" style="13"/>
    <col min="7425" max="7425" width="9.1640625" style="13" customWidth="1"/>
    <col min="7426" max="7426" width="20.5" style="13" customWidth="1"/>
    <col min="7427" max="7427" width="23.5" style="13" customWidth="1"/>
    <col min="7428" max="7428" width="10.5" style="13" customWidth="1"/>
    <col min="7429" max="7429" width="14.1640625" style="13" customWidth="1"/>
    <col min="7430" max="7430" width="7.83203125" style="13" customWidth="1"/>
    <col min="7431" max="7431" width="13.83203125" style="13" customWidth="1"/>
    <col min="7432" max="7432" width="20.83203125" style="13" customWidth="1"/>
    <col min="7433" max="7433" width="18.1640625" style="13" customWidth="1"/>
    <col min="7434" max="7434" width="9.1640625" style="13" customWidth="1"/>
    <col min="7435" max="7680" width="9.1640625" style="13"/>
    <col min="7681" max="7681" width="9.1640625" style="13" customWidth="1"/>
    <col min="7682" max="7682" width="20.5" style="13" customWidth="1"/>
    <col min="7683" max="7683" width="23.5" style="13" customWidth="1"/>
    <col min="7684" max="7684" width="10.5" style="13" customWidth="1"/>
    <col min="7685" max="7685" width="14.1640625" style="13" customWidth="1"/>
    <col min="7686" max="7686" width="7.83203125" style="13" customWidth="1"/>
    <col min="7687" max="7687" width="13.83203125" style="13" customWidth="1"/>
    <col min="7688" max="7688" width="20.83203125" style="13" customWidth="1"/>
    <col min="7689" max="7689" width="18.1640625" style="13" customWidth="1"/>
    <col min="7690" max="7690" width="9.1640625" style="13" customWidth="1"/>
    <col min="7691" max="7936" width="9.1640625" style="13"/>
    <col min="7937" max="7937" width="9.1640625" style="13" customWidth="1"/>
    <col min="7938" max="7938" width="20.5" style="13" customWidth="1"/>
    <col min="7939" max="7939" width="23.5" style="13" customWidth="1"/>
    <col min="7940" max="7940" width="10.5" style="13" customWidth="1"/>
    <col min="7941" max="7941" width="14.1640625" style="13" customWidth="1"/>
    <col min="7942" max="7942" width="7.83203125" style="13" customWidth="1"/>
    <col min="7943" max="7943" width="13.83203125" style="13" customWidth="1"/>
    <col min="7944" max="7944" width="20.83203125" style="13" customWidth="1"/>
    <col min="7945" max="7945" width="18.1640625" style="13" customWidth="1"/>
    <col min="7946" max="7946" width="9.1640625" style="13" customWidth="1"/>
    <col min="7947" max="8192" width="9.1640625" style="13"/>
    <col min="8193" max="8193" width="9.1640625" style="13" customWidth="1"/>
    <col min="8194" max="8194" width="20.5" style="13" customWidth="1"/>
    <col min="8195" max="8195" width="23.5" style="13" customWidth="1"/>
    <col min="8196" max="8196" width="10.5" style="13" customWidth="1"/>
    <col min="8197" max="8197" width="14.1640625" style="13" customWidth="1"/>
    <col min="8198" max="8198" width="7.83203125" style="13" customWidth="1"/>
    <col min="8199" max="8199" width="13.83203125" style="13" customWidth="1"/>
    <col min="8200" max="8200" width="20.83203125" style="13" customWidth="1"/>
    <col min="8201" max="8201" width="18.1640625" style="13" customWidth="1"/>
    <col min="8202" max="8202" width="9.1640625" style="13" customWidth="1"/>
    <col min="8203" max="8448" width="9.1640625" style="13"/>
    <col min="8449" max="8449" width="9.1640625" style="13" customWidth="1"/>
    <col min="8450" max="8450" width="20.5" style="13" customWidth="1"/>
    <col min="8451" max="8451" width="23.5" style="13" customWidth="1"/>
    <col min="8452" max="8452" width="10.5" style="13" customWidth="1"/>
    <col min="8453" max="8453" width="14.1640625" style="13" customWidth="1"/>
    <col min="8454" max="8454" width="7.83203125" style="13" customWidth="1"/>
    <col min="8455" max="8455" width="13.83203125" style="13" customWidth="1"/>
    <col min="8456" max="8456" width="20.83203125" style="13" customWidth="1"/>
    <col min="8457" max="8457" width="18.1640625" style="13" customWidth="1"/>
    <col min="8458" max="8458" width="9.1640625" style="13" customWidth="1"/>
    <col min="8459" max="8704" width="9.1640625" style="13"/>
    <col min="8705" max="8705" width="9.1640625" style="13" customWidth="1"/>
    <col min="8706" max="8706" width="20.5" style="13" customWidth="1"/>
    <col min="8707" max="8707" width="23.5" style="13" customWidth="1"/>
    <col min="8708" max="8708" width="10.5" style="13" customWidth="1"/>
    <col min="8709" max="8709" width="14.1640625" style="13" customWidth="1"/>
    <col min="8710" max="8710" width="7.83203125" style="13" customWidth="1"/>
    <col min="8711" max="8711" width="13.83203125" style="13" customWidth="1"/>
    <col min="8712" max="8712" width="20.83203125" style="13" customWidth="1"/>
    <col min="8713" max="8713" width="18.1640625" style="13" customWidth="1"/>
    <col min="8714" max="8714" width="9.1640625" style="13" customWidth="1"/>
    <col min="8715" max="8960" width="9.1640625" style="13"/>
    <col min="8961" max="8961" width="9.1640625" style="13" customWidth="1"/>
    <col min="8962" max="8962" width="20.5" style="13" customWidth="1"/>
    <col min="8963" max="8963" width="23.5" style="13" customWidth="1"/>
    <col min="8964" max="8964" width="10.5" style="13" customWidth="1"/>
    <col min="8965" max="8965" width="14.1640625" style="13" customWidth="1"/>
    <col min="8966" max="8966" width="7.83203125" style="13" customWidth="1"/>
    <col min="8967" max="8967" width="13.83203125" style="13" customWidth="1"/>
    <col min="8968" max="8968" width="20.83203125" style="13" customWidth="1"/>
    <col min="8969" max="8969" width="18.1640625" style="13" customWidth="1"/>
    <col min="8970" max="8970" width="9.1640625" style="13" customWidth="1"/>
    <col min="8971" max="9216" width="9.1640625" style="13"/>
    <col min="9217" max="9217" width="9.1640625" style="13" customWidth="1"/>
    <col min="9218" max="9218" width="20.5" style="13" customWidth="1"/>
    <col min="9219" max="9219" width="23.5" style="13" customWidth="1"/>
    <col min="9220" max="9220" width="10.5" style="13" customWidth="1"/>
    <col min="9221" max="9221" width="14.1640625" style="13" customWidth="1"/>
    <col min="9222" max="9222" width="7.83203125" style="13" customWidth="1"/>
    <col min="9223" max="9223" width="13.83203125" style="13" customWidth="1"/>
    <col min="9224" max="9224" width="20.83203125" style="13" customWidth="1"/>
    <col min="9225" max="9225" width="18.1640625" style="13" customWidth="1"/>
    <col min="9226" max="9226" width="9.1640625" style="13" customWidth="1"/>
    <col min="9227" max="9472" width="9.1640625" style="13"/>
    <col min="9473" max="9473" width="9.1640625" style="13" customWidth="1"/>
    <col min="9474" max="9474" width="20.5" style="13" customWidth="1"/>
    <col min="9475" max="9475" width="23.5" style="13" customWidth="1"/>
    <col min="9476" max="9476" width="10.5" style="13" customWidth="1"/>
    <col min="9477" max="9477" width="14.1640625" style="13" customWidth="1"/>
    <col min="9478" max="9478" width="7.83203125" style="13" customWidth="1"/>
    <col min="9479" max="9479" width="13.83203125" style="13" customWidth="1"/>
    <col min="9480" max="9480" width="20.83203125" style="13" customWidth="1"/>
    <col min="9481" max="9481" width="18.1640625" style="13" customWidth="1"/>
    <col min="9482" max="9482" width="9.1640625" style="13" customWidth="1"/>
    <col min="9483" max="9728" width="9.1640625" style="13"/>
    <col min="9729" max="9729" width="9.1640625" style="13" customWidth="1"/>
    <col min="9730" max="9730" width="20.5" style="13" customWidth="1"/>
    <col min="9731" max="9731" width="23.5" style="13" customWidth="1"/>
    <col min="9732" max="9732" width="10.5" style="13" customWidth="1"/>
    <col min="9733" max="9733" width="14.1640625" style="13" customWidth="1"/>
    <col min="9734" max="9734" width="7.83203125" style="13" customWidth="1"/>
    <col min="9735" max="9735" width="13.83203125" style="13" customWidth="1"/>
    <col min="9736" max="9736" width="20.83203125" style="13" customWidth="1"/>
    <col min="9737" max="9737" width="18.1640625" style="13" customWidth="1"/>
    <col min="9738" max="9738" width="9.1640625" style="13" customWidth="1"/>
    <col min="9739" max="9984" width="9.1640625" style="13"/>
    <col min="9985" max="9985" width="9.1640625" style="13" customWidth="1"/>
    <col min="9986" max="9986" width="20.5" style="13" customWidth="1"/>
    <col min="9987" max="9987" width="23.5" style="13" customWidth="1"/>
    <col min="9988" max="9988" width="10.5" style="13" customWidth="1"/>
    <col min="9989" max="9989" width="14.1640625" style="13" customWidth="1"/>
    <col min="9990" max="9990" width="7.83203125" style="13" customWidth="1"/>
    <col min="9991" max="9991" width="13.83203125" style="13" customWidth="1"/>
    <col min="9992" max="9992" width="20.83203125" style="13" customWidth="1"/>
    <col min="9993" max="9993" width="18.1640625" style="13" customWidth="1"/>
    <col min="9994" max="9994" width="9.1640625" style="13" customWidth="1"/>
    <col min="9995" max="10240" width="9.1640625" style="13"/>
    <col min="10241" max="10241" width="9.1640625" style="13" customWidth="1"/>
    <col min="10242" max="10242" width="20.5" style="13" customWidth="1"/>
    <col min="10243" max="10243" width="23.5" style="13" customWidth="1"/>
    <col min="10244" max="10244" width="10.5" style="13" customWidth="1"/>
    <col min="10245" max="10245" width="14.1640625" style="13" customWidth="1"/>
    <col min="10246" max="10246" width="7.83203125" style="13" customWidth="1"/>
    <col min="10247" max="10247" width="13.83203125" style="13" customWidth="1"/>
    <col min="10248" max="10248" width="20.83203125" style="13" customWidth="1"/>
    <col min="10249" max="10249" width="18.1640625" style="13" customWidth="1"/>
    <col min="10250" max="10250" width="9.1640625" style="13" customWidth="1"/>
    <col min="10251" max="10496" width="9.1640625" style="13"/>
    <col min="10497" max="10497" width="9.1640625" style="13" customWidth="1"/>
    <col min="10498" max="10498" width="20.5" style="13" customWidth="1"/>
    <col min="10499" max="10499" width="23.5" style="13" customWidth="1"/>
    <col min="10500" max="10500" width="10.5" style="13" customWidth="1"/>
    <col min="10501" max="10501" width="14.1640625" style="13" customWidth="1"/>
    <col min="10502" max="10502" width="7.83203125" style="13" customWidth="1"/>
    <col min="10503" max="10503" width="13.83203125" style="13" customWidth="1"/>
    <col min="10504" max="10504" width="20.83203125" style="13" customWidth="1"/>
    <col min="10505" max="10505" width="18.1640625" style="13" customWidth="1"/>
    <col min="10506" max="10506" width="9.1640625" style="13" customWidth="1"/>
    <col min="10507" max="10752" width="9.1640625" style="13"/>
    <col min="10753" max="10753" width="9.1640625" style="13" customWidth="1"/>
    <col min="10754" max="10754" width="20.5" style="13" customWidth="1"/>
    <col min="10755" max="10755" width="23.5" style="13" customWidth="1"/>
    <col min="10756" max="10756" width="10.5" style="13" customWidth="1"/>
    <col min="10757" max="10757" width="14.1640625" style="13" customWidth="1"/>
    <col min="10758" max="10758" width="7.83203125" style="13" customWidth="1"/>
    <col min="10759" max="10759" width="13.83203125" style="13" customWidth="1"/>
    <col min="10760" max="10760" width="20.83203125" style="13" customWidth="1"/>
    <col min="10761" max="10761" width="18.1640625" style="13" customWidth="1"/>
    <col min="10762" max="10762" width="9.1640625" style="13" customWidth="1"/>
    <col min="10763" max="11008" width="9.1640625" style="13"/>
    <col min="11009" max="11009" width="9.1640625" style="13" customWidth="1"/>
    <col min="11010" max="11010" width="20.5" style="13" customWidth="1"/>
    <col min="11011" max="11011" width="23.5" style="13" customWidth="1"/>
    <col min="11012" max="11012" width="10.5" style="13" customWidth="1"/>
    <col min="11013" max="11013" width="14.1640625" style="13" customWidth="1"/>
    <col min="11014" max="11014" width="7.83203125" style="13" customWidth="1"/>
    <col min="11015" max="11015" width="13.83203125" style="13" customWidth="1"/>
    <col min="11016" max="11016" width="20.83203125" style="13" customWidth="1"/>
    <col min="11017" max="11017" width="18.1640625" style="13" customWidth="1"/>
    <col min="11018" max="11018" width="9.1640625" style="13" customWidth="1"/>
    <col min="11019" max="11264" width="9.1640625" style="13"/>
    <col min="11265" max="11265" width="9.1640625" style="13" customWidth="1"/>
    <col min="11266" max="11266" width="20.5" style="13" customWidth="1"/>
    <col min="11267" max="11267" width="23.5" style="13" customWidth="1"/>
    <col min="11268" max="11268" width="10.5" style="13" customWidth="1"/>
    <col min="11269" max="11269" width="14.1640625" style="13" customWidth="1"/>
    <col min="11270" max="11270" width="7.83203125" style="13" customWidth="1"/>
    <col min="11271" max="11271" width="13.83203125" style="13" customWidth="1"/>
    <col min="11272" max="11272" width="20.83203125" style="13" customWidth="1"/>
    <col min="11273" max="11273" width="18.1640625" style="13" customWidth="1"/>
    <col min="11274" max="11274" width="9.1640625" style="13" customWidth="1"/>
    <col min="11275" max="11520" width="9.1640625" style="13"/>
    <col min="11521" max="11521" width="9.1640625" style="13" customWidth="1"/>
    <col min="11522" max="11522" width="20.5" style="13" customWidth="1"/>
    <col min="11523" max="11523" width="23.5" style="13" customWidth="1"/>
    <col min="11524" max="11524" width="10.5" style="13" customWidth="1"/>
    <col min="11525" max="11525" width="14.1640625" style="13" customWidth="1"/>
    <col min="11526" max="11526" width="7.83203125" style="13" customWidth="1"/>
    <col min="11527" max="11527" width="13.83203125" style="13" customWidth="1"/>
    <col min="11528" max="11528" width="20.83203125" style="13" customWidth="1"/>
    <col min="11529" max="11529" width="18.1640625" style="13" customWidth="1"/>
    <col min="11530" max="11530" width="9.1640625" style="13" customWidth="1"/>
    <col min="11531" max="11776" width="9.1640625" style="13"/>
    <col min="11777" max="11777" width="9.1640625" style="13" customWidth="1"/>
    <col min="11778" max="11778" width="20.5" style="13" customWidth="1"/>
    <col min="11779" max="11779" width="23.5" style="13" customWidth="1"/>
    <col min="11780" max="11780" width="10.5" style="13" customWidth="1"/>
    <col min="11781" max="11781" width="14.1640625" style="13" customWidth="1"/>
    <col min="11782" max="11782" width="7.83203125" style="13" customWidth="1"/>
    <col min="11783" max="11783" width="13.83203125" style="13" customWidth="1"/>
    <col min="11784" max="11784" width="20.83203125" style="13" customWidth="1"/>
    <col min="11785" max="11785" width="18.1640625" style="13" customWidth="1"/>
    <col min="11786" max="11786" width="9.1640625" style="13" customWidth="1"/>
    <col min="11787" max="12032" width="9.1640625" style="13"/>
    <col min="12033" max="12033" width="9.1640625" style="13" customWidth="1"/>
    <col min="12034" max="12034" width="20.5" style="13" customWidth="1"/>
    <col min="12035" max="12035" width="23.5" style="13" customWidth="1"/>
    <col min="12036" max="12036" width="10.5" style="13" customWidth="1"/>
    <col min="12037" max="12037" width="14.1640625" style="13" customWidth="1"/>
    <col min="12038" max="12038" width="7.83203125" style="13" customWidth="1"/>
    <col min="12039" max="12039" width="13.83203125" style="13" customWidth="1"/>
    <col min="12040" max="12040" width="20.83203125" style="13" customWidth="1"/>
    <col min="12041" max="12041" width="18.1640625" style="13" customWidth="1"/>
    <col min="12042" max="12042" width="9.1640625" style="13" customWidth="1"/>
    <col min="12043" max="12288" width="9.1640625" style="13"/>
    <col min="12289" max="12289" width="9.1640625" style="13" customWidth="1"/>
    <col min="12290" max="12290" width="20.5" style="13" customWidth="1"/>
    <col min="12291" max="12291" width="23.5" style="13" customWidth="1"/>
    <col min="12292" max="12292" width="10.5" style="13" customWidth="1"/>
    <col min="12293" max="12293" width="14.1640625" style="13" customWidth="1"/>
    <col min="12294" max="12294" width="7.83203125" style="13" customWidth="1"/>
    <col min="12295" max="12295" width="13.83203125" style="13" customWidth="1"/>
    <col min="12296" max="12296" width="20.83203125" style="13" customWidth="1"/>
    <col min="12297" max="12297" width="18.1640625" style="13" customWidth="1"/>
    <col min="12298" max="12298" width="9.1640625" style="13" customWidth="1"/>
    <col min="12299" max="12544" width="9.1640625" style="13"/>
    <col min="12545" max="12545" width="9.1640625" style="13" customWidth="1"/>
    <col min="12546" max="12546" width="20.5" style="13" customWidth="1"/>
    <col min="12547" max="12547" width="23.5" style="13" customWidth="1"/>
    <col min="12548" max="12548" width="10.5" style="13" customWidth="1"/>
    <col min="12549" max="12549" width="14.1640625" style="13" customWidth="1"/>
    <col min="12550" max="12550" width="7.83203125" style="13" customWidth="1"/>
    <col min="12551" max="12551" width="13.83203125" style="13" customWidth="1"/>
    <col min="12552" max="12552" width="20.83203125" style="13" customWidth="1"/>
    <col min="12553" max="12553" width="18.1640625" style="13" customWidth="1"/>
    <col min="12554" max="12554" width="9.1640625" style="13" customWidth="1"/>
    <col min="12555" max="12800" width="9.1640625" style="13"/>
    <col min="12801" max="12801" width="9.1640625" style="13" customWidth="1"/>
    <col min="12802" max="12802" width="20.5" style="13" customWidth="1"/>
    <col min="12803" max="12803" width="23.5" style="13" customWidth="1"/>
    <col min="12804" max="12804" width="10.5" style="13" customWidth="1"/>
    <col min="12805" max="12805" width="14.1640625" style="13" customWidth="1"/>
    <col min="12806" max="12806" width="7.83203125" style="13" customWidth="1"/>
    <col min="12807" max="12807" width="13.83203125" style="13" customWidth="1"/>
    <col min="12808" max="12808" width="20.83203125" style="13" customWidth="1"/>
    <col min="12809" max="12809" width="18.1640625" style="13" customWidth="1"/>
    <col min="12810" max="12810" width="9.1640625" style="13" customWidth="1"/>
    <col min="12811" max="13056" width="9.1640625" style="13"/>
    <col min="13057" max="13057" width="9.1640625" style="13" customWidth="1"/>
    <col min="13058" max="13058" width="20.5" style="13" customWidth="1"/>
    <col min="13059" max="13059" width="23.5" style="13" customWidth="1"/>
    <col min="13060" max="13060" width="10.5" style="13" customWidth="1"/>
    <col min="13061" max="13061" width="14.1640625" style="13" customWidth="1"/>
    <col min="13062" max="13062" width="7.83203125" style="13" customWidth="1"/>
    <col min="13063" max="13063" width="13.83203125" style="13" customWidth="1"/>
    <col min="13064" max="13064" width="20.83203125" style="13" customWidth="1"/>
    <col min="13065" max="13065" width="18.1640625" style="13" customWidth="1"/>
    <col min="13066" max="13066" width="9.1640625" style="13" customWidth="1"/>
    <col min="13067" max="13312" width="9.1640625" style="13"/>
    <col min="13313" max="13313" width="9.1640625" style="13" customWidth="1"/>
    <col min="13314" max="13314" width="20.5" style="13" customWidth="1"/>
    <col min="13315" max="13315" width="23.5" style="13" customWidth="1"/>
    <col min="13316" max="13316" width="10.5" style="13" customWidth="1"/>
    <col min="13317" max="13317" width="14.1640625" style="13" customWidth="1"/>
    <col min="13318" max="13318" width="7.83203125" style="13" customWidth="1"/>
    <col min="13319" max="13319" width="13.83203125" style="13" customWidth="1"/>
    <col min="13320" max="13320" width="20.83203125" style="13" customWidth="1"/>
    <col min="13321" max="13321" width="18.1640625" style="13" customWidth="1"/>
    <col min="13322" max="13322" width="9.1640625" style="13" customWidth="1"/>
    <col min="13323" max="13568" width="9.1640625" style="13"/>
    <col min="13569" max="13569" width="9.1640625" style="13" customWidth="1"/>
    <col min="13570" max="13570" width="20.5" style="13" customWidth="1"/>
    <col min="13571" max="13571" width="23.5" style="13" customWidth="1"/>
    <col min="13572" max="13572" width="10.5" style="13" customWidth="1"/>
    <col min="13573" max="13573" width="14.1640625" style="13" customWidth="1"/>
    <col min="13574" max="13574" width="7.83203125" style="13" customWidth="1"/>
    <col min="13575" max="13575" width="13.83203125" style="13" customWidth="1"/>
    <col min="13576" max="13576" width="20.83203125" style="13" customWidth="1"/>
    <col min="13577" max="13577" width="18.1640625" style="13" customWidth="1"/>
    <col min="13578" max="13578" width="9.1640625" style="13" customWidth="1"/>
    <col min="13579" max="13824" width="9.1640625" style="13"/>
    <col min="13825" max="13825" width="9.1640625" style="13" customWidth="1"/>
    <col min="13826" max="13826" width="20.5" style="13" customWidth="1"/>
    <col min="13827" max="13827" width="23.5" style="13" customWidth="1"/>
    <col min="13828" max="13828" width="10.5" style="13" customWidth="1"/>
    <col min="13829" max="13829" width="14.1640625" style="13" customWidth="1"/>
    <col min="13830" max="13830" width="7.83203125" style="13" customWidth="1"/>
    <col min="13831" max="13831" width="13.83203125" style="13" customWidth="1"/>
    <col min="13832" max="13832" width="20.83203125" style="13" customWidth="1"/>
    <col min="13833" max="13833" width="18.1640625" style="13" customWidth="1"/>
    <col min="13834" max="13834" width="9.1640625" style="13" customWidth="1"/>
    <col min="13835" max="14080" width="9.1640625" style="13"/>
    <col min="14081" max="14081" width="9.1640625" style="13" customWidth="1"/>
    <col min="14082" max="14082" width="20.5" style="13" customWidth="1"/>
    <col min="14083" max="14083" width="23.5" style="13" customWidth="1"/>
    <col min="14084" max="14084" width="10.5" style="13" customWidth="1"/>
    <col min="14085" max="14085" width="14.1640625" style="13" customWidth="1"/>
    <col min="14086" max="14086" width="7.83203125" style="13" customWidth="1"/>
    <col min="14087" max="14087" width="13.83203125" style="13" customWidth="1"/>
    <col min="14088" max="14088" width="20.83203125" style="13" customWidth="1"/>
    <col min="14089" max="14089" width="18.1640625" style="13" customWidth="1"/>
    <col min="14090" max="14090" width="9.1640625" style="13" customWidth="1"/>
    <col min="14091" max="14336" width="9.1640625" style="13"/>
    <col min="14337" max="14337" width="9.1640625" style="13" customWidth="1"/>
    <col min="14338" max="14338" width="20.5" style="13" customWidth="1"/>
    <col min="14339" max="14339" width="23.5" style="13" customWidth="1"/>
    <col min="14340" max="14340" width="10.5" style="13" customWidth="1"/>
    <col min="14341" max="14341" width="14.1640625" style="13" customWidth="1"/>
    <col min="14342" max="14342" width="7.83203125" style="13" customWidth="1"/>
    <col min="14343" max="14343" width="13.83203125" style="13" customWidth="1"/>
    <col min="14344" max="14344" width="20.83203125" style="13" customWidth="1"/>
    <col min="14345" max="14345" width="18.1640625" style="13" customWidth="1"/>
    <col min="14346" max="14346" width="9.1640625" style="13" customWidth="1"/>
    <col min="14347" max="14592" width="9.1640625" style="13"/>
    <col min="14593" max="14593" width="9.1640625" style="13" customWidth="1"/>
    <col min="14594" max="14594" width="20.5" style="13" customWidth="1"/>
    <col min="14595" max="14595" width="23.5" style="13" customWidth="1"/>
    <col min="14596" max="14596" width="10.5" style="13" customWidth="1"/>
    <col min="14597" max="14597" width="14.1640625" style="13" customWidth="1"/>
    <col min="14598" max="14598" width="7.83203125" style="13" customWidth="1"/>
    <col min="14599" max="14599" width="13.83203125" style="13" customWidth="1"/>
    <col min="14600" max="14600" width="20.83203125" style="13" customWidth="1"/>
    <col min="14601" max="14601" width="18.1640625" style="13" customWidth="1"/>
    <col min="14602" max="14602" width="9.1640625" style="13" customWidth="1"/>
    <col min="14603" max="14848" width="9.1640625" style="13"/>
    <col min="14849" max="14849" width="9.1640625" style="13" customWidth="1"/>
    <col min="14850" max="14850" width="20.5" style="13" customWidth="1"/>
    <col min="14851" max="14851" width="23.5" style="13" customWidth="1"/>
    <col min="14852" max="14852" width="10.5" style="13" customWidth="1"/>
    <col min="14853" max="14853" width="14.1640625" style="13" customWidth="1"/>
    <col min="14854" max="14854" width="7.83203125" style="13" customWidth="1"/>
    <col min="14855" max="14855" width="13.83203125" style="13" customWidth="1"/>
    <col min="14856" max="14856" width="20.83203125" style="13" customWidth="1"/>
    <col min="14857" max="14857" width="18.1640625" style="13" customWidth="1"/>
    <col min="14858" max="14858" width="9.1640625" style="13" customWidth="1"/>
    <col min="14859" max="15104" width="9.1640625" style="13"/>
    <col min="15105" max="15105" width="9.1640625" style="13" customWidth="1"/>
    <col min="15106" max="15106" width="20.5" style="13" customWidth="1"/>
    <col min="15107" max="15107" width="23.5" style="13" customWidth="1"/>
    <col min="15108" max="15108" width="10.5" style="13" customWidth="1"/>
    <col min="15109" max="15109" width="14.1640625" style="13" customWidth="1"/>
    <col min="15110" max="15110" width="7.83203125" style="13" customWidth="1"/>
    <col min="15111" max="15111" width="13.83203125" style="13" customWidth="1"/>
    <col min="15112" max="15112" width="20.83203125" style="13" customWidth="1"/>
    <col min="15113" max="15113" width="18.1640625" style="13" customWidth="1"/>
    <col min="15114" max="15114" width="9.1640625" style="13" customWidth="1"/>
    <col min="15115" max="15360" width="9.1640625" style="13"/>
    <col min="15361" max="15361" width="9.1640625" style="13" customWidth="1"/>
    <col min="15362" max="15362" width="20.5" style="13" customWidth="1"/>
    <col min="15363" max="15363" width="23.5" style="13" customWidth="1"/>
    <col min="15364" max="15364" width="10.5" style="13" customWidth="1"/>
    <col min="15365" max="15365" width="14.1640625" style="13" customWidth="1"/>
    <col min="15366" max="15366" width="7.83203125" style="13" customWidth="1"/>
    <col min="15367" max="15367" width="13.83203125" style="13" customWidth="1"/>
    <col min="15368" max="15368" width="20.83203125" style="13" customWidth="1"/>
    <col min="15369" max="15369" width="18.1640625" style="13" customWidth="1"/>
    <col min="15370" max="15370" width="9.1640625" style="13" customWidth="1"/>
    <col min="15371" max="15616" width="9.1640625" style="13"/>
    <col min="15617" max="15617" width="9.1640625" style="13" customWidth="1"/>
    <col min="15618" max="15618" width="20.5" style="13" customWidth="1"/>
    <col min="15619" max="15619" width="23.5" style="13" customWidth="1"/>
    <col min="15620" max="15620" width="10.5" style="13" customWidth="1"/>
    <col min="15621" max="15621" width="14.1640625" style="13" customWidth="1"/>
    <col min="15622" max="15622" width="7.83203125" style="13" customWidth="1"/>
    <col min="15623" max="15623" width="13.83203125" style="13" customWidth="1"/>
    <col min="15624" max="15624" width="20.83203125" style="13" customWidth="1"/>
    <col min="15625" max="15625" width="18.1640625" style="13" customWidth="1"/>
    <col min="15626" max="15626" width="9.1640625" style="13" customWidth="1"/>
    <col min="15627" max="15872" width="9.1640625" style="13"/>
    <col min="15873" max="15873" width="9.1640625" style="13" customWidth="1"/>
    <col min="15874" max="15874" width="20.5" style="13" customWidth="1"/>
    <col min="15875" max="15875" width="23.5" style="13" customWidth="1"/>
    <col min="15876" max="15876" width="10.5" style="13" customWidth="1"/>
    <col min="15877" max="15877" width="14.1640625" style="13" customWidth="1"/>
    <col min="15878" max="15878" width="7.83203125" style="13" customWidth="1"/>
    <col min="15879" max="15879" width="13.83203125" style="13" customWidth="1"/>
    <col min="15880" max="15880" width="20.83203125" style="13" customWidth="1"/>
    <col min="15881" max="15881" width="18.1640625" style="13" customWidth="1"/>
    <col min="15882" max="15882" width="9.1640625" style="13" customWidth="1"/>
    <col min="15883" max="16128" width="9.1640625" style="13"/>
    <col min="16129" max="16129" width="9.1640625" style="13" customWidth="1"/>
    <col min="16130" max="16130" width="20.5" style="13" customWidth="1"/>
    <col min="16131" max="16131" width="23.5" style="13" customWidth="1"/>
    <col min="16132" max="16132" width="10.5" style="13" customWidth="1"/>
    <col min="16133" max="16133" width="14.1640625" style="13" customWidth="1"/>
    <col min="16134" max="16134" width="7.83203125" style="13" customWidth="1"/>
    <col min="16135" max="16135" width="13.83203125" style="13" customWidth="1"/>
    <col min="16136" max="16136" width="20.83203125" style="13" customWidth="1"/>
    <col min="16137" max="16137" width="18.1640625" style="13" customWidth="1"/>
    <col min="16138" max="16138" width="9.1640625" style="13" customWidth="1"/>
    <col min="16139" max="16384" width="9.1640625" style="13"/>
  </cols>
  <sheetData>
    <row r="1" spans="1:3" ht="15" customHeight="1">
      <c r="A1" s="11" t="s">
        <v>23</v>
      </c>
      <c r="B1" s="12"/>
      <c r="C1" s="12"/>
    </row>
    <row r="2" spans="1:3" ht="15" customHeight="1">
      <c r="A2" s="12"/>
      <c r="B2" s="12"/>
      <c r="C2" s="12"/>
    </row>
    <row r="3" spans="1:3">
      <c r="A3" s="12"/>
      <c r="B3" s="14" t="s">
        <v>24</v>
      </c>
      <c r="C3" s="15"/>
    </row>
    <row r="4" spans="1:3">
      <c r="A4" s="12"/>
      <c r="B4" s="16" t="s">
        <v>25</v>
      </c>
      <c r="C4" s="15">
        <f>D39</f>
        <v>18</v>
      </c>
    </row>
    <row r="5" spans="1:3" ht="25">
      <c r="A5" s="12"/>
      <c r="B5" s="16" t="s">
        <v>26</v>
      </c>
      <c r="C5" s="15">
        <f>D34</f>
        <v>15</v>
      </c>
    </row>
    <row r="6" spans="1:3" ht="25">
      <c r="A6" s="12"/>
      <c r="B6" s="16" t="s">
        <v>27</v>
      </c>
      <c r="C6" s="15">
        <v>0</v>
      </c>
    </row>
    <row r="7" spans="1:3">
      <c r="A7" s="12"/>
      <c r="B7" s="16" t="s">
        <v>28</v>
      </c>
      <c r="C7" s="15">
        <v>0</v>
      </c>
    </row>
    <row r="8" spans="1:3">
      <c r="A8" s="12"/>
      <c r="B8" s="16" t="s">
        <v>29</v>
      </c>
      <c r="C8" s="15">
        <f>D44</f>
        <v>3</v>
      </c>
    </row>
    <row r="9" spans="1:3">
      <c r="A9" s="12"/>
      <c r="B9" s="16" t="s">
        <v>30</v>
      </c>
      <c r="C9" s="15">
        <f>D52</f>
        <v>6</v>
      </c>
    </row>
    <row r="10" spans="1:3" ht="25">
      <c r="A10" s="12"/>
      <c r="B10" s="16" t="s">
        <v>14</v>
      </c>
      <c r="C10" s="15">
        <v>0</v>
      </c>
    </row>
    <row r="11" spans="1:3">
      <c r="A11" s="12"/>
      <c r="B11" s="16" t="s">
        <v>15</v>
      </c>
      <c r="C11" s="15">
        <v>0</v>
      </c>
    </row>
    <row r="12" spans="1:3" ht="25">
      <c r="A12" s="12"/>
      <c r="B12" s="16" t="s">
        <v>31</v>
      </c>
      <c r="C12" s="15">
        <f>D79</f>
        <v>25</v>
      </c>
    </row>
    <row r="13" spans="1:3" ht="25">
      <c r="A13" s="12"/>
      <c r="B13" s="16" t="s">
        <v>32</v>
      </c>
      <c r="C13" s="15">
        <f>D83</f>
        <v>2</v>
      </c>
    </row>
    <row r="14" spans="1:3" ht="25">
      <c r="A14" s="12"/>
      <c r="B14" s="16" t="s">
        <v>33</v>
      </c>
      <c r="C14" s="15">
        <v>0</v>
      </c>
    </row>
    <row r="15" spans="1:3">
      <c r="A15" s="12"/>
      <c r="B15" s="16" t="s">
        <v>4</v>
      </c>
      <c r="C15" s="17">
        <f>C4+C6+C7+C8+C9+C10+C11</f>
        <v>27</v>
      </c>
    </row>
    <row r="16" spans="1:3" ht="25">
      <c r="A16" s="12"/>
      <c r="B16" s="16" t="s">
        <v>34</v>
      </c>
      <c r="C16" s="15">
        <f>F92</f>
        <v>5</v>
      </c>
    </row>
    <row r="17" spans="1:10" ht="15" customHeight="1"/>
    <row r="18" spans="1:10" ht="15" customHeight="1">
      <c r="A18" s="18" t="s">
        <v>35</v>
      </c>
      <c r="B18" s="18" t="s">
        <v>36</v>
      </c>
      <c r="C18" s="18" t="s">
        <v>37</v>
      </c>
      <c r="D18" s="18" t="s">
        <v>38</v>
      </c>
      <c r="E18" s="18" t="s">
        <v>39</v>
      </c>
      <c r="F18" s="18" t="s">
        <v>40</v>
      </c>
      <c r="G18" s="18" t="s">
        <v>41</v>
      </c>
      <c r="H18" s="18" t="s">
        <v>42</v>
      </c>
      <c r="I18" s="18" t="s">
        <v>43</v>
      </c>
      <c r="J18" s="19" t="s">
        <v>44</v>
      </c>
    </row>
    <row r="19" spans="1:10" ht="60">
      <c r="A19" s="20">
        <f>HYPERLINK("http://www.westlaw.com/Find/Default.wl?rs=dfa1.0&amp;vr=2.0&amp;DB=506&amp;FindType=Y&amp;SerialNum=2000512162",7)</f>
        <v>7</v>
      </c>
      <c r="B19" s="21" t="s">
        <v>45</v>
      </c>
      <c r="C19" s="21" t="s">
        <v>46</v>
      </c>
      <c r="D19" s="22" t="s">
        <v>47</v>
      </c>
      <c r="E19" s="23" t="s">
        <v>48</v>
      </c>
      <c r="F19" s="22" t="s">
        <v>49</v>
      </c>
    </row>
    <row r="20" spans="1:10" ht="36">
      <c r="A20" s="20">
        <f>HYPERLINK("http://www.westlaw.com/Find/Default.wl?rs=dfa1.0&amp;vr=2.0&amp;DB=506&amp;FindType=Y&amp;SerialNum=2000493672",8)</f>
        <v>8</v>
      </c>
      <c r="B20" s="21" t="s">
        <v>50</v>
      </c>
      <c r="C20" s="21" t="s">
        <v>51</v>
      </c>
      <c r="D20" s="22" t="s">
        <v>47</v>
      </c>
      <c r="E20" s="23" t="s">
        <v>48</v>
      </c>
      <c r="F20" s="22" t="s">
        <v>49</v>
      </c>
    </row>
    <row r="21" spans="1:10" ht="96">
      <c r="A21" s="20">
        <f>HYPERLINK("http://www.westlaw.com/Find/Default.wl?rs=dfa1.0&amp;vr=2.0&amp;DB=506&amp;FindType=Y&amp;SerialNum=2000493673",9)</f>
        <v>9</v>
      </c>
      <c r="B21" s="21" t="s">
        <v>52</v>
      </c>
      <c r="C21" s="21" t="s">
        <v>53</v>
      </c>
      <c r="D21" s="22" t="s">
        <v>47</v>
      </c>
      <c r="E21" s="23" t="s">
        <v>48</v>
      </c>
      <c r="F21" s="22" t="s">
        <v>49</v>
      </c>
    </row>
    <row r="22" spans="1:10" ht="60">
      <c r="A22" s="20">
        <f>HYPERLINK("http://www.westlaw.com/Find/Default.wl?rs=dfa1.0&amp;vr=2.0&amp;DB=506&amp;FindType=Y&amp;SerialNum=2000479519",12)</f>
        <v>12</v>
      </c>
      <c r="B22" s="21" t="s">
        <v>54</v>
      </c>
      <c r="C22" s="21" t="s">
        <v>55</v>
      </c>
      <c r="D22" s="22" t="s">
        <v>47</v>
      </c>
      <c r="E22" s="23" t="s">
        <v>48</v>
      </c>
      <c r="F22" s="22" t="s">
        <v>49</v>
      </c>
    </row>
    <row r="23" spans="1:10" ht="48">
      <c r="A23" s="20">
        <f>HYPERLINK("http://www.westlaw.com/Find/Default.wl?rs=dfa1.0&amp;vr=2.0&amp;DB=506&amp;FindType=Y&amp;SerialNum=2000479520",13)</f>
        <v>13</v>
      </c>
      <c r="B23" s="21" t="s">
        <v>56</v>
      </c>
      <c r="C23" s="21" t="s">
        <v>57</v>
      </c>
      <c r="D23" s="22" t="s">
        <v>47</v>
      </c>
      <c r="E23" s="23" t="s">
        <v>48</v>
      </c>
      <c r="F23" s="23" t="s">
        <v>49</v>
      </c>
    </row>
    <row r="24" spans="1:10" ht="36">
      <c r="A24" s="20">
        <f>HYPERLINK("http://www.westlaw.com/Find/Default.wl?rs=dfa1.0&amp;vr=2.0&amp;DB=506&amp;FindType=Y&amp;SerialNum=2000357955",23)</f>
        <v>23</v>
      </c>
      <c r="B24" s="21" t="s">
        <v>58</v>
      </c>
      <c r="C24" s="21" t="s">
        <v>59</v>
      </c>
      <c r="D24" s="22" t="s">
        <v>47</v>
      </c>
      <c r="E24" s="23" t="s">
        <v>48</v>
      </c>
      <c r="F24" s="22" t="s">
        <v>49</v>
      </c>
    </row>
    <row r="25" spans="1:10" ht="48">
      <c r="A25" s="20">
        <f>HYPERLINK("http://www.westlaw.com/Find/Default.wl?rs=dfa1.0&amp;vr=2.0&amp;DB=506&amp;FindType=Y&amp;SerialNum=2000358669",24)</f>
        <v>24</v>
      </c>
      <c r="B25" s="21" t="s">
        <v>60</v>
      </c>
      <c r="C25" s="21" t="s">
        <v>61</v>
      </c>
      <c r="D25" s="22" t="s">
        <v>47</v>
      </c>
      <c r="E25" s="23" t="s">
        <v>48</v>
      </c>
      <c r="F25" s="22" t="s">
        <v>49</v>
      </c>
    </row>
    <row r="26" spans="1:10" ht="60">
      <c r="A26" s="20">
        <f>HYPERLINK("http://www.westlaw.com/Find/Default.wl?rs=dfa1.0&amp;vr=2.0&amp;DB=506&amp;FindType=Y&amp;SerialNum=2000079883",37)</f>
        <v>37</v>
      </c>
      <c r="B26" s="21" t="s">
        <v>62</v>
      </c>
      <c r="C26" s="21" t="s">
        <v>63</v>
      </c>
      <c r="D26" s="22" t="s">
        <v>47</v>
      </c>
      <c r="E26" s="23" t="s">
        <v>48</v>
      </c>
      <c r="F26" s="22" t="s">
        <v>49</v>
      </c>
    </row>
    <row r="27" spans="1:10" ht="48">
      <c r="A27" s="20">
        <f>HYPERLINK("http://www.westlaw.com/Find/Default.wl?rs=dfa1.0&amp;vr=2.0&amp;DB=506&amp;FindType=Y&amp;SerialNum=2000063789",39)</f>
        <v>39</v>
      </c>
      <c r="B27" s="21" t="s">
        <v>64</v>
      </c>
      <c r="C27" s="21" t="s">
        <v>65</v>
      </c>
      <c r="D27" s="22" t="s">
        <v>47</v>
      </c>
      <c r="E27" s="23" t="s">
        <v>48</v>
      </c>
      <c r="F27" s="22" t="s">
        <v>49</v>
      </c>
    </row>
    <row r="28" spans="1:10" ht="36">
      <c r="A28" s="20">
        <f>HYPERLINK("http://www.westlaw.com/Find/Default.wl?rs=dfa1.0&amp;vr=2.0&amp;DB=506&amp;FindType=Y&amp;SerialNum=2000357239",40)</f>
        <v>40</v>
      </c>
      <c r="B28" s="21" t="s">
        <v>66</v>
      </c>
      <c r="C28" s="21" t="s">
        <v>67</v>
      </c>
      <c r="D28" s="22" t="s">
        <v>47</v>
      </c>
      <c r="E28" s="23" t="s">
        <v>48</v>
      </c>
      <c r="F28" s="22" t="s">
        <v>49</v>
      </c>
    </row>
    <row r="29" spans="1:10" ht="48">
      <c r="A29" s="20">
        <f>HYPERLINK("http://www.westlaw.com/Find/Default.wl?rs=dfa1.0&amp;vr=2.0&amp;DB=506&amp;FindType=Y&amp;SerialNum=2000042317",44)</f>
        <v>44</v>
      </c>
      <c r="B29" s="21" t="s">
        <v>68</v>
      </c>
      <c r="C29" s="21" t="s">
        <v>69</v>
      </c>
      <c r="D29" s="22" t="s">
        <v>47</v>
      </c>
      <c r="E29" s="23" t="s">
        <v>48</v>
      </c>
      <c r="F29" s="22" t="s">
        <v>49</v>
      </c>
    </row>
    <row r="30" spans="1:10" ht="48">
      <c r="A30" s="20">
        <f>HYPERLINK("http://www.westlaw.com/Find/Default.wl?rs=dfa1.0&amp;vr=2.0&amp;DB=506&amp;FindType=Y&amp;SerialNum=1999284711",47)</f>
        <v>47</v>
      </c>
      <c r="B30" s="21" t="s">
        <v>70</v>
      </c>
      <c r="C30" s="21" t="s">
        <v>71</v>
      </c>
      <c r="D30" s="22" t="s">
        <v>47</v>
      </c>
      <c r="E30" s="23" t="s">
        <v>48</v>
      </c>
      <c r="F30" s="22" t="s">
        <v>49</v>
      </c>
    </row>
    <row r="31" spans="1:10" ht="48">
      <c r="A31" s="20">
        <f>HYPERLINK("http://www.westlaw.com/Find/Default.wl?rs=dfa1.0&amp;vr=2.0&amp;DB=506&amp;FindType=Y&amp;SerialNum=1999233762",54)</f>
        <v>54</v>
      </c>
      <c r="B31" s="21" t="s">
        <v>72</v>
      </c>
      <c r="C31" s="21" t="s">
        <v>73</v>
      </c>
      <c r="D31" s="22" t="s">
        <v>47</v>
      </c>
      <c r="E31" s="23" t="s">
        <v>48</v>
      </c>
      <c r="F31" s="22" t="s">
        <v>49</v>
      </c>
    </row>
    <row r="32" spans="1:10" ht="36">
      <c r="A32" s="20">
        <f>HYPERLINK("http://www.westlaw.com/Find/Default.wl?rs=dfa1.0&amp;vr=2.0&amp;DB=506&amp;FindType=Y&amp;SerialNum=1999233779",55)</f>
        <v>55</v>
      </c>
      <c r="B32" s="21" t="s">
        <v>74</v>
      </c>
      <c r="C32" s="21" t="s">
        <v>75</v>
      </c>
      <c r="D32" s="22" t="s">
        <v>47</v>
      </c>
      <c r="E32" s="23" t="s">
        <v>48</v>
      </c>
      <c r="F32" s="22" t="s">
        <v>49</v>
      </c>
    </row>
    <row r="33" spans="1:10" ht="60">
      <c r="A33" s="20">
        <f>HYPERLINK("http://www.westlaw.com/Find/Default.wl?rs=dfa1.0&amp;vr=2.0&amp;DB=506&amp;FindType=Y&amp;SerialNum=2000517380",5)</f>
        <v>5</v>
      </c>
      <c r="B33" s="21" t="s">
        <v>76</v>
      </c>
      <c r="C33" s="21" t="s">
        <v>77</v>
      </c>
      <c r="D33" s="22" t="s">
        <v>47</v>
      </c>
      <c r="E33" s="23" t="s">
        <v>48</v>
      </c>
      <c r="F33" s="22" t="s">
        <v>78</v>
      </c>
      <c r="G33" s="22" t="s">
        <v>79</v>
      </c>
      <c r="H33" s="22" t="s">
        <v>80</v>
      </c>
      <c r="I33" s="22" t="s">
        <v>49</v>
      </c>
    </row>
    <row r="34" spans="1:10">
      <c r="A34" s="20"/>
      <c r="B34" s="21"/>
      <c r="C34" s="24" t="s">
        <v>81</v>
      </c>
      <c r="D34" s="18">
        <f>COUNTA(D19:D33)</f>
        <v>15</v>
      </c>
      <c r="E34" s="23"/>
      <c r="F34" s="22"/>
      <c r="G34" s="22"/>
      <c r="H34" s="22"/>
      <c r="I34" s="22"/>
    </row>
    <row r="35" spans="1:10">
      <c r="A35" s="20"/>
      <c r="B35" s="21"/>
      <c r="C35" s="21"/>
      <c r="D35" s="22"/>
      <c r="E35" s="23"/>
      <c r="F35" s="22"/>
      <c r="G35" s="22"/>
      <c r="H35" s="22"/>
      <c r="I35" s="22"/>
    </row>
    <row r="36" spans="1:10" ht="48">
      <c r="A36" s="20">
        <f>HYPERLINK("http://www.westlaw.com/Find/Default.wl?rs=dfa1.0&amp;vr=2.0&amp;DB=506&amp;FindType=Y&amp;SerialNum=2000366294",21)</f>
        <v>21</v>
      </c>
      <c r="B36" s="21" t="s">
        <v>82</v>
      </c>
      <c r="C36" s="21" t="s">
        <v>83</v>
      </c>
      <c r="D36" s="22" t="s">
        <v>47</v>
      </c>
      <c r="F36" s="22" t="s">
        <v>49</v>
      </c>
    </row>
    <row r="37" spans="1:10" ht="48">
      <c r="A37" s="20">
        <f>HYPERLINK("http://www.westlaw.com/Find/Default.wl?rs=dfa1.0&amp;vr=2.0&amp;DB=506&amp;FindType=Y&amp;SerialNum=2000070704",38)</f>
        <v>38</v>
      </c>
      <c r="B37" s="21" t="s">
        <v>84</v>
      </c>
      <c r="C37" s="21" t="s">
        <v>85</v>
      </c>
      <c r="D37" s="22" t="s">
        <v>47</v>
      </c>
      <c r="F37" s="22" t="s">
        <v>49</v>
      </c>
    </row>
    <row r="38" spans="1:10" ht="48">
      <c r="A38" s="20">
        <f>HYPERLINK("http://www.westlaw.com/Find/Default.wl?rs=dfa1.0&amp;vr=2.0&amp;DB=506&amp;FindType=Y&amp;SerialNum=1999225384",56)</f>
        <v>56</v>
      </c>
      <c r="B38" s="21" t="s">
        <v>86</v>
      </c>
      <c r="C38" s="21" t="s">
        <v>87</v>
      </c>
      <c r="D38" s="22" t="s">
        <v>47</v>
      </c>
      <c r="F38" s="22" t="s">
        <v>49</v>
      </c>
    </row>
    <row r="39" spans="1:10">
      <c r="A39" s="20"/>
      <c r="B39" s="21"/>
      <c r="C39" s="24" t="s">
        <v>88</v>
      </c>
      <c r="D39" s="18">
        <f>D34+COUNTA(D36:D38)</f>
        <v>18</v>
      </c>
      <c r="E39" s="23"/>
      <c r="F39" s="22"/>
      <c r="G39" s="22"/>
      <c r="H39" s="22"/>
      <c r="I39" s="22"/>
    </row>
    <row r="40" spans="1:10">
      <c r="A40" s="20"/>
      <c r="B40" s="21"/>
      <c r="C40" s="21"/>
      <c r="D40" s="22"/>
      <c r="E40" s="23"/>
      <c r="F40" s="22"/>
      <c r="G40" s="22"/>
      <c r="H40" s="22"/>
      <c r="I40" s="22"/>
    </row>
    <row r="41" spans="1:10" ht="48">
      <c r="A41" s="20">
        <f>HYPERLINK("http://www.westlaw.com/Find/Default.wl?rs=dfa1.0&amp;vr=2.0&amp;DB=506&amp;FindType=Y&amp;SerialNum=2000537853",1)</f>
        <v>1</v>
      </c>
      <c r="B41" s="21" t="s">
        <v>89</v>
      </c>
      <c r="C41" s="21" t="s">
        <v>90</v>
      </c>
      <c r="D41" s="22" t="s">
        <v>79</v>
      </c>
      <c r="F41" s="22" t="s">
        <v>49</v>
      </c>
    </row>
    <row r="42" spans="1:10" ht="36">
      <c r="A42" s="20">
        <f>HYPERLINK("http://www.westlaw.com/Find/Default.wl?rs=dfa1.0&amp;vr=2.0&amp;DB=506&amp;FindType=Y&amp;SerialNum=2000454079",18)</f>
        <v>18</v>
      </c>
      <c r="B42" s="21" t="s">
        <v>91</v>
      </c>
      <c r="C42" s="21" t="s">
        <v>92</v>
      </c>
      <c r="D42" s="22" t="s">
        <v>79</v>
      </c>
      <c r="F42" s="22" t="s">
        <v>49</v>
      </c>
    </row>
    <row r="43" spans="1:10" ht="48">
      <c r="A43" s="20">
        <f>HYPERLINK("http://www.westlaw.com/Find/Default.wl?rs=dfa1.0&amp;vr=2.0&amp;DB=506&amp;FindType=Y&amp;SerialNum=2000029188",46)</f>
        <v>46</v>
      </c>
      <c r="B43" s="21" t="s">
        <v>93</v>
      </c>
      <c r="C43" s="21" t="s">
        <v>94</v>
      </c>
      <c r="D43" s="22" t="s">
        <v>79</v>
      </c>
      <c r="F43" s="22" t="s">
        <v>49</v>
      </c>
    </row>
    <row r="44" spans="1:10">
      <c r="A44" s="20"/>
      <c r="B44" s="21"/>
      <c r="C44" s="24" t="s">
        <v>95</v>
      </c>
      <c r="D44" s="18">
        <f>COUNTA(D41:D43)</f>
        <v>3</v>
      </c>
      <c r="F44" s="22"/>
    </row>
    <row r="45" spans="1:10">
      <c r="A45" s="20"/>
      <c r="B45" s="21"/>
      <c r="C45" s="21"/>
      <c r="D45" s="22"/>
      <c r="F45" s="22"/>
    </row>
    <row r="46" spans="1:10" ht="48">
      <c r="A46" s="20">
        <f>HYPERLINK("http://www.westlaw.com/Find/Default.wl?rs=dfa1.0&amp;vr=2.0&amp;DB=506&amp;FindType=Y&amp;SerialNum=2000360867",22)</f>
        <v>22</v>
      </c>
      <c r="B46" s="21" t="s">
        <v>96</v>
      </c>
      <c r="C46" s="21" t="s">
        <v>97</v>
      </c>
      <c r="D46" s="22" t="s">
        <v>80</v>
      </c>
      <c r="F46" s="22" t="s">
        <v>49</v>
      </c>
    </row>
    <row r="47" spans="1:10" ht="48">
      <c r="A47" s="20">
        <f>HYPERLINK("http://www.westlaw.com/Find/Default.wl?rs=dfa1.0&amp;vr=2.0&amp;DB=506&amp;FindType=Y&amp;SerialNum=2000489869",10)</f>
        <v>10</v>
      </c>
      <c r="B47" s="21" t="s">
        <v>98</v>
      </c>
      <c r="C47" s="21" t="s">
        <v>99</v>
      </c>
      <c r="D47" s="22" t="s">
        <v>100</v>
      </c>
      <c r="F47" s="22" t="s">
        <v>49</v>
      </c>
      <c r="J47" s="22"/>
    </row>
    <row r="48" spans="1:10" ht="36">
      <c r="A48" s="20">
        <f>HYPERLINK("http://www.westlaw.com/Find/Default.wl?rs=dfa1.0&amp;vr=2.0&amp;DB=506&amp;FindType=Y&amp;SerialNum=2000464202",17)</f>
        <v>17</v>
      </c>
      <c r="B48" s="21" t="s">
        <v>101</v>
      </c>
      <c r="C48" s="21" t="s">
        <v>102</v>
      </c>
      <c r="D48" s="22" t="s">
        <v>100</v>
      </c>
      <c r="F48" s="22" t="s">
        <v>49</v>
      </c>
    </row>
    <row r="49" spans="1:10" ht="60">
      <c r="A49" s="20">
        <f>HYPERLINK("http://www.westlaw.com/Find/Default.wl?rs=dfa1.0&amp;vr=2.0&amp;DB=506&amp;FindType=Y&amp;SerialNum=2000441165",19)</f>
        <v>19</v>
      </c>
      <c r="B49" s="21" t="s">
        <v>103</v>
      </c>
      <c r="C49" s="21" t="s">
        <v>104</v>
      </c>
      <c r="D49" s="22" t="s">
        <v>100</v>
      </c>
      <c r="F49" s="22" t="s">
        <v>49</v>
      </c>
    </row>
    <row r="50" spans="1:10" ht="36">
      <c r="A50" s="20">
        <f>HYPERLINK("http://www.westlaw.com/Find/Default.wl?rs=dfa1.0&amp;vr=2.0&amp;DB=506&amp;FindType=Y&amp;SerialNum=2000044295",43)</f>
        <v>43</v>
      </c>
      <c r="B50" s="21" t="s">
        <v>105</v>
      </c>
      <c r="C50" s="21" t="s">
        <v>106</v>
      </c>
      <c r="D50" s="22" t="s">
        <v>100</v>
      </c>
      <c r="F50" s="22" t="s">
        <v>49</v>
      </c>
      <c r="J50" s="22"/>
    </row>
    <row r="51" spans="1:10" ht="60">
      <c r="A51" s="20">
        <f>HYPERLINK("http://www.westlaw.com/Find/Default.wl?rs=dfa1.0&amp;vr=2.0&amp;DB=506&amp;FindType=Y&amp;SerialNum=1999248836",51)</f>
        <v>51</v>
      </c>
      <c r="B51" s="21" t="s">
        <v>107</v>
      </c>
      <c r="C51" s="21" t="s">
        <v>108</v>
      </c>
      <c r="D51" s="22" t="s">
        <v>100</v>
      </c>
      <c r="F51" s="22" t="s">
        <v>49</v>
      </c>
    </row>
    <row r="52" spans="1:10">
      <c r="A52" s="20"/>
      <c r="B52" s="21"/>
      <c r="C52" s="24" t="s">
        <v>95</v>
      </c>
      <c r="D52" s="18">
        <f>COUNTA(D46:D51)</f>
        <v>6</v>
      </c>
      <c r="E52" s="23"/>
      <c r="F52" s="22"/>
      <c r="G52" s="22"/>
      <c r="H52" s="22"/>
      <c r="I52" s="22"/>
    </row>
    <row r="53" spans="1:10">
      <c r="A53" s="20"/>
      <c r="B53" s="21"/>
      <c r="C53" s="21"/>
      <c r="D53" s="22"/>
      <c r="E53" s="23"/>
      <c r="F53" s="22"/>
      <c r="G53" s="22"/>
      <c r="H53" s="22"/>
      <c r="I53" s="22"/>
    </row>
    <row r="54" spans="1:10" ht="48">
      <c r="A54" s="20">
        <f>HYPERLINK("http://www.westlaw.com/Find/Default.wl?rs=dfa1.0&amp;vr=2.0&amp;DB=506&amp;FindType=Y&amp;SerialNum=2000538149",2)</f>
        <v>2</v>
      </c>
      <c r="B54" s="21" t="s">
        <v>109</v>
      </c>
      <c r="C54" s="21" t="s">
        <v>110</v>
      </c>
      <c r="D54" s="23" t="s">
        <v>111</v>
      </c>
      <c r="F54" s="22" t="s">
        <v>49</v>
      </c>
    </row>
    <row r="55" spans="1:10" ht="48">
      <c r="A55" s="20">
        <f>HYPERLINK("http://www.westlaw.com/Find/Default.wl?rs=dfa1.0&amp;vr=2.0&amp;DB=506&amp;FindType=Y&amp;SerialNum=2000532618",3)</f>
        <v>3</v>
      </c>
      <c r="B55" s="21" t="s">
        <v>112</v>
      </c>
      <c r="C55" s="21" t="s">
        <v>113</v>
      </c>
      <c r="D55" s="23" t="s">
        <v>111</v>
      </c>
      <c r="F55" s="22" t="s">
        <v>49</v>
      </c>
    </row>
    <row r="56" spans="1:10" ht="60">
      <c r="A56" s="20">
        <f>HYPERLINK("http://www.westlaw.com/Find/Default.wl?rs=dfa1.0&amp;vr=2.0&amp;DB=506&amp;FindType=Y&amp;SerialNum=2000532619",4)</f>
        <v>4</v>
      </c>
      <c r="B56" s="21" t="s">
        <v>114</v>
      </c>
      <c r="C56" s="21" t="s">
        <v>115</v>
      </c>
      <c r="D56" s="23" t="s">
        <v>111</v>
      </c>
      <c r="F56" s="22" t="s">
        <v>49</v>
      </c>
    </row>
    <row r="57" spans="1:10" ht="72">
      <c r="A57" s="20">
        <f>HYPERLINK("http://www.westlaw.com/Find/Default.wl?rs=dfa1.0&amp;vr=2.0&amp;DB=506&amp;FindType=Y&amp;SerialNum=2000516471",6)</f>
        <v>6</v>
      </c>
      <c r="B57" s="21" t="s">
        <v>116</v>
      </c>
      <c r="C57" s="21" t="s">
        <v>117</v>
      </c>
      <c r="D57" s="23" t="s">
        <v>111</v>
      </c>
      <c r="F57" s="22" t="s">
        <v>49</v>
      </c>
    </row>
    <row r="58" spans="1:10" ht="36">
      <c r="A58" s="20">
        <f>HYPERLINK("http://www.westlaw.com/Find/Default.wl?rs=dfa1.0&amp;vr=2.0&amp;DB=506&amp;FindType=Y&amp;SerialNum=2000479523",14)</f>
        <v>14</v>
      </c>
      <c r="B58" s="21" t="s">
        <v>118</v>
      </c>
      <c r="C58" s="21" t="s">
        <v>119</v>
      </c>
      <c r="D58" s="23" t="s">
        <v>111</v>
      </c>
      <c r="F58" s="22" t="s">
        <v>49</v>
      </c>
    </row>
    <row r="59" spans="1:10" ht="36">
      <c r="A59" s="20">
        <f>HYPERLINK("http://www.westlaw.com/Find/Default.wl?rs=dfa1.0&amp;vr=2.0&amp;DB=506&amp;FindType=Y&amp;SerialNum=2000473922",15)</f>
        <v>15</v>
      </c>
      <c r="B59" s="21" t="s">
        <v>120</v>
      </c>
      <c r="C59" s="21" t="s">
        <v>121</v>
      </c>
      <c r="D59" s="23" t="s">
        <v>111</v>
      </c>
      <c r="F59" s="22" t="s">
        <v>49</v>
      </c>
    </row>
    <row r="60" spans="1:10" ht="48">
      <c r="A60" s="20">
        <f>HYPERLINK("http://www.westlaw.com/Find/Default.wl?rs=dfa1.0&amp;vr=2.0&amp;DB=506&amp;FindType=Y&amp;SerialNum=2000470833",16)</f>
        <v>16</v>
      </c>
      <c r="B60" s="21" t="s">
        <v>122</v>
      </c>
      <c r="C60" s="21" t="s">
        <v>123</v>
      </c>
      <c r="D60" s="23" t="s">
        <v>111</v>
      </c>
      <c r="F60" s="22" t="s">
        <v>49</v>
      </c>
    </row>
    <row r="61" spans="1:10" ht="36">
      <c r="A61" s="20">
        <f>HYPERLINK("http://www.westlaw.com/Find/Default.wl?rs=dfa1.0&amp;vr=2.0&amp;DB=506&amp;FindType=Y&amp;SerialNum=2000378289",20)</f>
        <v>20</v>
      </c>
      <c r="B61" s="21" t="s">
        <v>124</v>
      </c>
      <c r="C61" s="21" t="s">
        <v>125</v>
      </c>
      <c r="D61" s="23" t="s">
        <v>111</v>
      </c>
      <c r="F61" s="22" t="s">
        <v>49</v>
      </c>
    </row>
    <row r="62" spans="1:10" ht="72">
      <c r="A62" s="20">
        <f>HYPERLINK("http://www.westlaw.com/Find/Default.wl?rs=dfa1.0&amp;vr=2.0&amp;DB=506&amp;FindType=Y&amp;SerialNum=2000301951",25)</f>
        <v>25</v>
      </c>
      <c r="B62" s="21" t="s">
        <v>126</v>
      </c>
      <c r="C62" s="21" t="s">
        <v>127</v>
      </c>
      <c r="D62" s="23" t="s">
        <v>111</v>
      </c>
      <c r="F62" s="22" t="s">
        <v>49</v>
      </c>
    </row>
    <row r="63" spans="1:10" ht="48">
      <c r="A63" s="20">
        <f>HYPERLINK("http://www.westlaw.com/Find/Default.wl?rs=dfa1.0&amp;vr=2.0&amp;DB=506&amp;FindType=Y&amp;SerialNum=2000300790",28)</f>
        <v>28</v>
      </c>
      <c r="B63" s="21" t="s">
        <v>128</v>
      </c>
      <c r="C63" s="21" t="s">
        <v>129</v>
      </c>
      <c r="D63" s="23" t="s">
        <v>111</v>
      </c>
      <c r="F63" s="22" t="s">
        <v>49</v>
      </c>
    </row>
    <row r="64" spans="1:10" ht="48">
      <c r="A64" s="20">
        <f>HYPERLINK("http://www.westlaw.com/Find/Default.wl?rs=dfa1.0&amp;vr=2.0&amp;DB=506&amp;FindType=Y&amp;SerialNum=2000102162",29)</f>
        <v>29</v>
      </c>
      <c r="B64" s="21" t="s">
        <v>130</v>
      </c>
      <c r="C64" s="21" t="s">
        <v>131</v>
      </c>
      <c r="D64" s="23" t="s">
        <v>111</v>
      </c>
      <c r="F64" s="22" t="s">
        <v>49</v>
      </c>
    </row>
    <row r="65" spans="1:9" ht="36">
      <c r="A65" s="20">
        <f>HYPERLINK("http://www.westlaw.com/Find/Default.wl?rs=dfa1.0&amp;vr=2.0&amp;DB=506&amp;FindType=Y&amp;SerialNum=2000094805",31)</f>
        <v>31</v>
      </c>
      <c r="B65" s="21" t="s">
        <v>132</v>
      </c>
      <c r="C65" s="21" t="s">
        <v>133</v>
      </c>
      <c r="D65" s="23" t="s">
        <v>111</v>
      </c>
      <c r="F65" s="22" t="s">
        <v>49</v>
      </c>
    </row>
    <row r="66" spans="1:9" ht="36">
      <c r="A66" s="20">
        <f>HYPERLINK("http://www.westlaw.com/Find/Default.wl?rs=dfa1.0&amp;vr=2.0&amp;DB=506&amp;FindType=Y&amp;SerialNum=2000093742",32)</f>
        <v>32</v>
      </c>
      <c r="B66" s="21" t="s">
        <v>134</v>
      </c>
      <c r="C66" s="21" t="s">
        <v>135</v>
      </c>
      <c r="D66" s="23" t="s">
        <v>111</v>
      </c>
      <c r="F66" s="22" t="s">
        <v>49</v>
      </c>
    </row>
    <row r="67" spans="1:9" ht="36">
      <c r="A67" s="20">
        <f>HYPERLINK("http://www.westlaw.com/Find/Default.wl?rs=dfa1.0&amp;vr=2.0&amp;DB=506&amp;FindType=Y&amp;SerialNum=2000085666",33)</f>
        <v>33</v>
      </c>
      <c r="B67" s="21" t="s">
        <v>136</v>
      </c>
      <c r="C67" s="21" t="s">
        <v>137</v>
      </c>
      <c r="D67" s="23" t="s">
        <v>111</v>
      </c>
      <c r="F67" s="22" t="s">
        <v>49</v>
      </c>
    </row>
    <row r="68" spans="1:9" ht="60">
      <c r="A68" s="20">
        <f>HYPERLINK("http://www.westlaw.com/Find/Default.wl?rs=dfa1.0&amp;vr=2.0&amp;DB=506&amp;FindType=Y&amp;SerialNum=2000085668",34)</f>
        <v>34</v>
      </c>
      <c r="B68" s="21" t="s">
        <v>138</v>
      </c>
      <c r="C68" s="21" t="s">
        <v>139</v>
      </c>
      <c r="D68" s="23" t="s">
        <v>111</v>
      </c>
      <c r="F68" s="22" t="s">
        <v>49</v>
      </c>
    </row>
    <row r="69" spans="1:9" ht="36">
      <c r="A69" s="20">
        <f>HYPERLINK("http://www.westlaw.com/Find/Default.wl?rs=dfa1.0&amp;vr=2.0&amp;DB=506&amp;FindType=Y&amp;SerialNum=2000090740",35)</f>
        <v>35</v>
      </c>
      <c r="B69" s="21" t="s">
        <v>140</v>
      </c>
      <c r="C69" s="21" t="s">
        <v>141</v>
      </c>
      <c r="D69" s="23" t="s">
        <v>111</v>
      </c>
      <c r="F69" s="22" t="s">
        <v>49</v>
      </c>
    </row>
    <row r="70" spans="1:9" ht="48">
      <c r="A70" s="20">
        <f>HYPERLINK("http://www.westlaw.com/Find/Default.wl?rs=dfa1.0&amp;vr=2.0&amp;DB=870&amp;FindType=Y&amp;SerialNum=2000109825",36)</f>
        <v>36</v>
      </c>
      <c r="B70" s="21" t="s">
        <v>142</v>
      </c>
      <c r="C70" s="21" t="s">
        <v>143</v>
      </c>
      <c r="D70" s="23" t="s">
        <v>111</v>
      </c>
      <c r="F70" s="22" t="s">
        <v>49</v>
      </c>
    </row>
    <row r="71" spans="1:9" ht="48">
      <c r="A71" s="20">
        <f>HYPERLINK("http://www.westlaw.com/Find/Default.wl?rs=dfa1.0&amp;vr=2.0&amp;DB=506&amp;FindType=Y&amp;SerialNum=2000060739",41)</f>
        <v>41</v>
      </c>
      <c r="B71" s="21" t="s">
        <v>144</v>
      </c>
      <c r="C71" s="21" t="s">
        <v>145</v>
      </c>
      <c r="D71" s="23" t="s">
        <v>111</v>
      </c>
      <c r="F71" s="22" t="s">
        <v>49</v>
      </c>
    </row>
    <row r="72" spans="1:9" ht="36">
      <c r="A72" s="20">
        <f>HYPERLINK("http://www.westlaw.com/Find/Default.wl?rs=dfa1.0&amp;vr=2.0&amp;DB=506&amp;FindType=Y&amp;SerialNum=2000054313",42)</f>
        <v>42</v>
      </c>
      <c r="B72" s="21" t="s">
        <v>146</v>
      </c>
      <c r="C72" s="21" t="s">
        <v>147</v>
      </c>
      <c r="D72" s="23" t="s">
        <v>111</v>
      </c>
      <c r="F72" s="22" t="s">
        <v>49</v>
      </c>
    </row>
    <row r="73" spans="1:9" ht="72">
      <c r="A73" s="20">
        <f>HYPERLINK("http://www.westlaw.com/Find/Default.wl?rs=dfa1.0&amp;vr=2.0&amp;DB=506&amp;FindType=Y&amp;SerialNum=2000028614",45)</f>
        <v>45</v>
      </c>
      <c r="B73" s="21" t="s">
        <v>148</v>
      </c>
      <c r="C73" s="21" t="s">
        <v>149</v>
      </c>
      <c r="D73" s="23" t="s">
        <v>111</v>
      </c>
      <c r="F73" s="22" t="s">
        <v>49</v>
      </c>
    </row>
    <row r="74" spans="1:9" ht="60">
      <c r="A74" s="20">
        <f>HYPERLINK("http://www.westlaw.com/Find/Default.wl?rs=dfa1.0&amp;vr=2.0&amp;DB=506&amp;FindType=Y&amp;SerialNum=1999269639",48)</f>
        <v>48</v>
      </c>
      <c r="B74" s="21" t="s">
        <v>150</v>
      </c>
      <c r="C74" s="21" t="s">
        <v>151</v>
      </c>
      <c r="D74" s="23" t="s">
        <v>111</v>
      </c>
      <c r="F74" s="22" t="s">
        <v>49</v>
      </c>
    </row>
    <row r="75" spans="1:9" ht="36">
      <c r="A75" s="20">
        <f>HYPERLINK("http://www.westlaw.com/Find/Default.wl?rs=dfa1.0&amp;vr=2.0&amp;DB=506&amp;FindType=Y&amp;SerialNum=1999265239",49)</f>
        <v>49</v>
      </c>
      <c r="B75" s="21" t="s">
        <v>152</v>
      </c>
      <c r="C75" s="21" t="s">
        <v>153</v>
      </c>
      <c r="D75" s="23" t="s">
        <v>111</v>
      </c>
      <c r="F75" s="22" t="s">
        <v>49</v>
      </c>
    </row>
    <row r="76" spans="1:9" ht="72">
      <c r="A76" s="20">
        <f>HYPERLINK("http://www.westlaw.com/Find/Default.wl?rs=dfa1.0&amp;vr=2.0&amp;DB=506&amp;FindType=Y&amp;SerialNum=1999243622",52)</f>
        <v>52</v>
      </c>
      <c r="B76" s="21" t="s">
        <v>154</v>
      </c>
      <c r="C76" s="21" t="s">
        <v>155</v>
      </c>
      <c r="D76" s="23" t="s">
        <v>111</v>
      </c>
      <c r="F76" s="22" t="s">
        <v>49</v>
      </c>
    </row>
    <row r="77" spans="1:9" ht="36">
      <c r="A77" s="20">
        <f>HYPERLINK("http://www.westlaw.com/Find/Default.wl?rs=dfa1.0&amp;vr=2.0&amp;DB=506&amp;FindType=Y&amp;SerialNum=1999235502",53)</f>
        <v>53</v>
      </c>
      <c r="B77" s="21" t="s">
        <v>156</v>
      </c>
      <c r="C77" s="21" t="s">
        <v>157</v>
      </c>
      <c r="D77" s="23" t="s">
        <v>111</v>
      </c>
      <c r="F77" s="22" t="s">
        <v>49</v>
      </c>
    </row>
    <row r="78" spans="1:9" ht="36">
      <c r="A78" s="20">
        <f>HYPERLINK("http://www.westlaw.com/Find/Default.wl?rs=dfa1.0&amp;vr=2.0&amp;DB=506&amp;FindType=Y&amp;SerialNum=2000487932",11)</f>
        <v>11</v>
      </c>
      <c r="B78" s="21" t="s">
        <v>158</v>
      </c>
      <c r="C78" s="21" t="s">
        <v>159</v>
      </c>
      <c r="D78" s="23" t="s">
        <v>111</v>
      </c>
      <c r="F78" s="22" t="s">
        <v>78</v>
      </c>
      <c r="G78" s="22" t="s">
        <v>79</v>
      </c>
      <c r="H78" s="22" t="s">
        <v>100</v>
      </c>
      <c r="I78" s="22" t="s">
        <v>49</v>
      </c>
    </row>
    <row r="79" spans="1:9">
      <c r="A79" s="20"/>
      <c r="B79" s="21"/>
      <c r="C79" s="24" t="s">
        <v>95</v>
      </c>
      <c r="D79" s="19">
        <f>COUNTA(D54:D78)</f>
        <v>25</v>
      </c>
      <c r="F79" s="22"/>
      <c r="G79" s="22"/>
      <c r="H79" s="22"/>
      <c r="I79" s="22"/>
    </row>
    <row r="80" spans="1:9">
      <c r="A80" s="20"/>
      <c r="B80" s="21"/>
      <c r="C80" s="21"/>
      <c r="D80" s="23"/>
      <c r="F80" s="22"/>
      <c r="G80" s="22"/>
      <c r="H80" s="22"/>
      <c r="I80" s="22"/>
    </row>
    <row r="81" spans="1:10" ht="48">
      <c r="A81" s="20">
        <f>HYPERLINK("http://www.westlaw.com/Find/Default.wl?rs=dfa1.0&amp;vr=2.0&amp;DB=506&amp;FindType=Y&amp;SerialNum=2000101430",30)</f>
        <v>30</v>
      </c>
      <c r="B81" s="21" t="s">
        <v>160</v>
      </c>
      <c r="C81" s="21" t="s">
        <v>161</v>
      </c>
      <c r="D81" s="22" t="s">
        <v>162</v>
      </c>
      <c r="F81" s="22" t="s">
        <v>49</v>
      </c>
      <c r="J81" s="22"/>
    </row>
    <row r="82" spans="1:10" ht="60">
      <c r="A82" s="20">
        <f>HYPERLINK("http://www.westlaw.com/Find/Default.wl?rs=dfa1.0&amp;vr=2.0&amp;DB=506&amp;FindType=Y&amp;SerialNum=1999257659",50)</f>
        <v>50</v>
      </c>
      <c r="B82" s="21" t="s">
        <v>163</v>
      </c>
      <c r="C82" s="21" t="s">
        <v>164</v>
      </c>
      <c r="D82" s="22" t="s">
        <v>162</v>
      </c>
      <c r="E82" s="23"/>
      <c r="F82" s="22" t="s">
        <v>49</v>
      </c>
      <c r="G82" s="23"/>
      <c r="H82" s="23"/>
      <c r="I82" s="23"/>
      <c r="J82" s="22"/>
    </row>
    <row r="83" spans="1:10">
      <c r="A83" s="20"/>
      <c r="B83" s="21"/>
      <c r="C83" s="24" t="s">
        <v>95</v>
      </c>
      <c r="D83" s="19">
        <f>COUNTA(D81:D82)</f>
        <v>2</v>
      </c>
      <c r="F83" s="22"/>
      <c r="G83" s="22"/>
      <c r="H83" s="22"/>
      <c r="I83" s="22"/>
    </row>
    <row r="84" spans="1:10">
      <c r="A84" s="20"/>
      <c r="B84" s="21"/>
      <c r="C84" s="21"/>
      <c r="D84" s="23"/>
      <c r="F84" s="22"/>
      <c r="G84" s="22"/>
      <c r="H84" s="22"/>
      <c r="I84" s="22"/>
    </row>
    <row r="85" spans="1:10">
      <c r="A85" s="20"/>
      <c r="B85" s="21"/>
      <c r="C85" s="21"/>
      <c r="D85" s="23"/>
      <c r="F85" s="22"/>
      <c r="G85" s="22"/>
      <c r="H85" s="22"/>
      <c r="I85" s="22"/>
    </row>
    <row r="86" spans="1:10">
      <c r="B86" s="25" t="s">
        <v>165</v>
      </c>
      <c r="C86" s="21"/>
      <c r="D86" s="23"/>
      <c r="F86" s="22"/>
      <c r="G86" s="22"/>
      <c r="H86" s="22"/>
      <c r="I86" s="22"/>
    </row>
    <row r="87" spans="1:10" ht="60">
      <c r="A87" s="20">
        <f>HYPERLINK("http://www.westlaw.com/Find/Default.wl?rs=dfa1.0&amp;vr=2.0&amp;DB=506&amp;FindType=Y&amp;SerialNum=2000517380",5)</f>
        <v>5</v>
      </c>
      <c r="B87" s="21" t="s">
        <v>76</v>
      </c>
      <c r="C87" s="21" t="s">
        <v>77</v>
      </c>
      <c r="D87" s="22" t="s">
        <v>47</v>
      </c>
      <c r="E87" s="23" t="s">
        <v>48</v>
      </c>
      <c r="F87" s="22" t="s">
        <v>78</v>
      </c>
      <c r="G87" s="22" t="s">
        <v>79</v>
      </c>
      <c r="H87" s="22" t="s">
        <v>80</v>
      </c>
      <c r="I87" s="22" t="s">
        <v>49</v>
      </c>
    </row>
    <row r="88" spans="1:10" ht="36">
      <c r="A88" s="20">
        <f>HYPERLINK("http://www.westlaw.com/Find/Default.wl?rs=dfa1.0&amp;vr=2.0&amp;DB=506&amp;FindType=Y&amp;SerialNum=2000487932",11)</f>
        <v>11</v>
      </c>
      <c r="B88" s="21" t="s">
        <v>158</v>
      </c>
      <c r="C88" s="21" t="s">
        <v>159</v>
      </c>
      <c r="D88" s="23" t="s">
        <v>111</v>
      </c>
      <c r="F88" s="22" t="s">
        <v>78</v>
      </c>
      <c r="G88" s="22" t="s">
        <v>79</v>
      </c>
      <c r="H88" s="22" t="s">
        <v>100</v>
      </c>
      <c r="I88" s="22" t="s">
        <v>49</v>
      </c>
    </row>
    <row r="89" spans="1:10" ht="36">
      <c r="A89" s="20">
        <f>HYPERLINK("http://www.westlaw.com/Find/Default.wl?rs=dfa1.0&amp;vr=2.0&amp;DB=506&amp;FindType=Y&amp;SerialNum=2000302665",26)</f>
        <v>26</v>
      </c>
      <c r="B89" s="21" t="s">
        <v>134</v>
      </c>
      <c r="C89" s="21" t="s">
        <v>166</v>
      </c>
      <c r="F89" s="22" t="s">
        <v>78</v>
      </c>
      <c r="G89" s="22" t="s">
        <v>167</v>
      </c>
      <c r="H89" s="22" t="s">
        <v>79</v>
      </c>
      <c r="I89" s="22" t="s">
        <v>49</v>
      </c>
      <c r="J89" s="22"/>
    </row>
    <row r="90" spans="1:10" ht="60">
      <c r="A90" s="20">
        <f>HYPERLINK("http://www.westlaw.com/Find/Default.wl?rs=dfa1.0&amp;vr=2.0&amp;DB=506&amp;FindType=Y&amp;SerialNum=2000299632",27)</f>
        <v>27</v>
      </c>
      <c r="B90" s="21" t="s">
        <v>168</v>
      </c>
      <c r="C90" s="21" t="s">
        <v>169</v>
      </c>
      <c r="F90" s="22" t="s">
        <v>78</v>
      </c>
      <c r="G90" s="22" t="s">
        <v>79</v>
      </c>
      <c r="H90" s="22" t="s">
        <v>79</v>
      </c>
      <c r="I90" s="22" t="s">
        <v>49</v>
      </c>
    </row>
    <row r="91" spans="1:10" ht="36">
      <c r="A91" s="20">
        <f>HYPERLINK("http://www.westlaw.com/Find/Default.wl?rs=dfa1.0&amp;vr=2.0&amp;FindType=Y&amp;SerialNum=2000374220",58)</f>
        <v>58</v>
      </c>
      <c r="B91" s="21" t="s">
        <v>170</v>
      </c>
      <c r="C91" s="21" t="s">
        <v>171</v>
      </c>
      <c r="F91" s="22" t="s">
        <v>78</v>
      </c>
      <c r="G91" s="22" t="s">
        <v>79</v>
      </c>
      <c r="H91" s="22" t="s">
        <v>100</v>
      </c>
      <c r="I91" s="22" t="s">
        <v>49</v>
      </c>
    </row>
    <row r="92" spans="1:10" ht="15" customHeight="1">
      <c r="E92" s="26" t="s">
        <v>172</v>
      </c>
      <c r="F92" s="26">
        <f>COUNTA(F87:F91)</f>
        <v>5</v>
      </c>
    </row>
    <row r="93" spans="1:10" ht="15" customHeight="1"/>
    <row r="94" spans="1:10" ht="15" customHeight="1"/>
    <row r="95" spans="1:10" ht="15" customHeight="1"/>
    <row r="96" spans="1:1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85" zoomScaleNormal="85" zoomScalePageLayoutView="85" workbookViewId="0"/>
  </sheetViews>
  <sheetFormatPr baseColWidth="10" defaultColWidth="9.1640625" defaultRowHeight="14" x14ac:dyDescent="0"/>
  <cols>
    <col min="1" max="1" width="9.1640625" style="13" customWidth="1"/>
    <col min="2" max="2" width="16.1640625" style="13" customWidth="1"/>
    <col min="3" max="3" width="19.5" style="13" customWidth="1"/>
    <col min="4" max="4" width="10.5" style="13" customWidth="1"/>
    <col min="5" max="6" width="9.1640625" style="13" customWidth="1"/>
    <col min="7" max="7" width="16.6640625" style="13" customWidth="1"/>
    <col min="8" max="8" width="23.5" style="13" customWidth="1"/>
    <col min="9" max="9" width="21" style="13" customWidth="1"/>
    <col min="10" max="10" width="14.5" style="13" customWidth="1"/>
    <col min="11" max="256" width="9.1640625" style="13"/>
    <col min="257" max="257" width="9.1640625" style="13" customWidth="1"/>
    <col min="258" max="258" width="16.1640625" style="13" customWidth="1"/>
    <col min="259" max="259" width="19.5" style="13" customWidth="1"/>
    <col min="260" max="260" width="10.5" style="13" customWidth="1"/>
    <col min="261" max="262" width="9.1640625" style="13" customWidth="1"/>
    <col min="263" max="263" width="16.6640625" style="13" customWidth="1"/>
    <col min="264" max="264" width="23.5" style="13" customWidth="1"/>
    <col min="265" max="265" width="21" style="13" customWidth="1"/>
    <col min="266" max="266" width="14.5" style="13" customWidth="1"/>
    <col min="267" max="512" width="9.1640625" style="13"/>
    <col min="513" max="513" width="9.1640625" style="13" customWidth="1"/>
    <col min="514" max="514" width="16.1640625" style="13" customWidth="1"/>
    <col min="515" max="515" width="19.5" style="13" customWidth="1"/>
    <col min="516" max="516" width="10.5" style="13" customWidth="1"/>
    <col min="517" max="518" width="9.1640625" style="13" customWidth="1"/>
    <col min="519" max="519" width="16.6640625" style="13" customWidth="1"/>
    <col min="520" max="520" width="23.5" style="13" customWidth="1"/>
    <col min="521" max="521" width="21" style="13" customWidth="1"/>
    <col min="522" max="522" width="14.5" style="13" customWidth="1"/>
    <col min="523" max="768" width="9.1640625" style="13"/>
    <col min="769" max="769" width="9.1640625" style="13" customWidth="1"/>
    <col min="770" max="770" width="16.1640625" style="13" customWidth="1"/>
    <col min="771" max="771" width="19.5" style="13" customWidth="1"/>
    <col min="772" max="772" width="10.5" style="13" customWidth="1"/>
    <col min="773" max="774" width="9.1640625" style="13" customWidth="1"/>
    <col min="775" max="775" width="16.6640625" style="13" customWidth="1"/>
    <col min="776" max="776" width="23.5" style="13" customWidth="1"/>
    <col min="777" max="777" width="21" style="13" customWidth="1"/>
    <col min="778" max="778" width="14.5" style="13" customWidth="1"/>
    <col min="779" max="1024" width="9.1640625" style="13"/>
    <col min="1025" max="1025" width="9.1640625" style="13" customWidth="1"/>
    <col min="1026" max="1026" width="16.1640625" style="13" customWidth="1"/>
    <col min="1027" max="1027" width="19.5" style="13" customWidth="1"/>
    <col min="1028" max="1028" width="10.5" style="13" customWidth="1"/>
    <col min="1029" max="1030" width="9.1640625" style="13" customWidth="1"/>
    <col min="1031" max="1031" width="16.6640625" style="13" customWidth="1"/>
    <col min="1032" max="1032" width="23.5" style="13" customWidth="1"/>
    <col min="1033" max="1033" width="21" style="13" customWidth="1"/>
    <col min="1034" max="1034" width="14.5" style="13" customWidth="1"/>
    <col min="1035" max="1280" width="9.1640625" style="13"/>
    <col min="1281" max="1281" width="9.1640625" style="13" customWidth="1"/>
    <col min="1282" max="1282" width="16.1640625" style="13" customWidth="1"/>
    <col min="1283" max="1283" width="19.5" style="13" customWidth="1"/>
    <col min="1284" max="1284" width="10.5" style="13" customWidth="1"/>
    <col min="1285" max="1286" width="9.1640625" style="13" customWidth="1"/>
    <col min="1287" max="1287" width="16.6640625" style="13" customWidth="1"/>
    <col min="1288" max="1288" width="23.5" style="13" customWidth="1"/>
    <col min="1289" max="1289" width="21" style="13" customWidth="1"/>
    <col min="1290" max="1290" width="14.5" style="13" customWidth="1"/>
    <col min="1291" max="1536" width="9.1640625" style="13"/>
    <col min="1537" max="1537" width="9.1640625" style="13" customWidth="1"/>
    <col min="1538" max="1538" width="16.1640625" style="13" customWidth="1"/>
    <col min="1539" max="1539" width="19.5" style="13" customWidth="1"/>
    <col min="1540" max="1540" width="10.5" style="13" customWidth="1"/>
    <col min="1541" max="1542" width="9.1640625" style="13" customWidth="1"/>
    <col min="1543" max="1543" width="16.6640625" style="13" customWidth="1"/>
    <col min="1544" max="1544" width="23.5" style="13" customWidth="1"/>
    <col min="1545" max="1545" width="21" style="13" customWidth="1"/>
    <col min="1546" max="1546" width="14.5" style="13" customWidth="1"/>
    <col min="1547" max="1792" width="9.1640625" style="13"/>
    <col min="1793" max="1793" width="9.1640625" style="13" customWidth="1"/>
    <col min="1794" max="1794" width="16.1640625" style="13" customWidth="1"/>
    <col min="1795" max="1795" width="19.5" style="13" customWidth="1"/>
    <col min="1796" max="1796" width="10.5" style="13" customWidth="1"/>
    <col min="1797" max="1798" width="9.1640625" style="13" customWidth="1"/>
    <col min="1799" max="1799" width="16.6640625" style="13" customWidth="1"/>
    <col min="1800" max="1800" width="23.5" style="13" customWidth="1"/>
    <col min="1801" max="1801" width="21" style="13" customWidth="1"/>
    <col min="1802" max="1802" width="14.5" style="13" customWidth="1"/>
    <col min="1803" max="2048" width="9.1640625" style="13"/>
    <col min="2049" max="2049" width="9.1640625" style="13" customWidth="1"/>
    <col min="2050" max="2050" width="16.1640625" style="13" customWidth="1"/>
    <col min="2051" max="2051" width="19.5" style="13" customWidth="1"/>
    <col min="2052" max="2052" width="10.5" style="13" customWidth="1"/>
    <col min="2053" max="2054" width="9.1640625" style="13" customWidth="1"/>
    <col min="2055" max="2055" width="16.6640625" style="13" customWidth="1"/>
    <col min="2056" max="2056" width="23.5" style="13" customWidth="1"/>
    <col min="2057" max="2057" width="21" style="13" customWidth="1"/>
    <col min="2058" max="2058" width="14.5" style="13" customWidth="1"/>
    <col min="2059" max="2304" width="9.1640625" style="13"/>
    <col min="2305" max="2305" width="9.1640625" style="13" customWidth="1"/>
    <col min="2306" max="2306" width="16.1640625" style="13" customWidth="1"/>
    <col min="2307" max="2307" width="19.5" style="13" customWidth="1"/>
    <col min="2308" max="2308" width="10.5" style="13" customWidth="1"/>
    <col min="2309" max="2310" width="9.1640625" style="13" customWidth="1"/>
    <col min="2311" max="2311" width="16.6640625" style="13" customWidth="1"/>
    <col min="2312" max="2312" width="23.5" style="13" customWidth="1"/>
    <col min="2313" max="2313" width="21" style="13" customWidth="1"/>
    <col min="2314" max="2314" width="14.5" style="13" customWidth="1"/>
    <col min="2315" max="2560" width="9.1640625" style="13"/>
    <col min="2561" max="2561" width="9.1640625" style="13" customWidth="1"/>
    <col min="2562" max="2562" width="16.1640625" style="13" customWidth="1"/>
    <col min="2563" max="2563" width="19.5" style="13" customWidth="1"/>
    <col min="2564" max="2564" width="10.5" style="13" customWidth="1"/>
    <col min="2565" max="2566" width="9.1640625" style="13" customWidth="1"/>
    <col min="2567" max="2567" width="16.6640625" style="13" customWidth="1"/>
    <col min="2568" max="2568" width="23.5" style="13" customWidth="1"/>
    <col min="2569" max="2569" width="21" style="13" customWidth="1"/>
    <col min="2570" max="2570" width="14.5" style="13" customWidth="1"/>
    <col min="2571" max="2816" width="9.1640625" style="13"/>
    <col min="2817" max="2817" width="9.1640625" style="13" customWidth="1"/>
    <col min="2818" max="2818" width="16.1640625" style="13" customWidth="1"/>
    <col min="2819" max="2819" width="19.5" style="13" customWidth="1"/>
    <col min="2820" max="2820" width="10.5" style="13" customWidth="1"/>
    <col min="2821" max="2822" width="9.1640625" style="13" customWidth="1"/>
    <col min="2823" max="2823" width="16.6640625" style="13" customWidth="1"/>
    <col min="2824" max="2824" width="23.5" style="13" customWidth="1"/>
    <col min="2825" max="2825" width="21" style="13" customWidth="1"/>
    <col min="2826" max="2826" width="14.5" style="13" customWidth="1"/>
    <col min="2827" max="3072" width="9.1640625" style="13"/>
    <col min="3073" max="3073" width="9.1640625" style="13" customWidth="1"/>
    <col min="3074" max="3074" width="16.1640625" style="13" customWidth="1"/>
    <col min="3075" max="3075" width="19.5" style="13" customWidth="1"/>
    <col min="3076" max="3076" width="10.5" style="13" customWidth="1"/>
    <col min="3077" max="3078" width="9.1640625" style="13" customWidth="1"/>
    <col min="3079" max="3079" width="16.6640625" style="13" customWidth="1"/>
    <col min="3080" max="3080" width="23.5" style="13" customWidth="1"/>
    <col min="3081" max="3081" width="21" style="13" customWidth="1"/>
    <col min="3082" max="3082" width="14.5" style="13" customWidth="1"/>
    <col min="3083" max="3328" width="9.1640625" style="13"/>
    <col min="3329" max="3329" width="9.1640625" style="13" customWidth="1"/>
    <col min="3330" max="3330" width="16.1640625" style="13" customWidth="1"/>
    <col min="3331" max="3331" width="19.5" style="13" customWidth="1"/>
    <col min="3332" max="3332" width="10.5" style="13" customWidth="1"/>
    <col min="3333" max="3334" width="9.1640625" style="13" customWidth="1"/>
    <col min="3335" max="3335" width="16.6640625" style="13" customWidth="1"/>
    <col min="3336" max="3336" width="23.5" style="13" customWidth="1"/>
    <col min="3337" max="3337" width="21" style="13" customWidth="1"/>
    <col min="3338" max="3338" width="14.5" style="13" customWidth="1"/>
    <col min="3339" max="3584" width="9.1640625" style="13"/>
    <col min="3585" max="3585" width="9.1640625" style="13" customWidth="1"/>
    <col min="3586" max="3586" width="16.1640625" style="13" customWidth="1"/>
    <col min="3587" max="3587" width="19.5" style="13" customWidth="1"/>
    <col min="3588" max="3588" width="10.5" style="13" customWidth="1"/>
    <col min="3589" max="3590" width="9.1640625" style="13" customWidth="1"/>
    <col min="3591" max="3591" width="16.6640625" style="13" customWidth="1"/>
    <col min="3592" max="3592" width="23.5" style="13" customWidth="1"/>
    <col min="3593" max="3593" width="21" style="13" customWidth="1"/>
    <col min="3594" max="3594" width="14.5" style="13" customWidth="1"/>
    <col min="3595" max="3840" width="9.1640625" style="13"/>
    <col min="3841" max="3841" width="9.1640625" style="13" customWidth="1"/>
    <col min="3842" max="3842" width="16.1640625" style="13" customWidth="1"/>
    <col min="3843" max="3843" width="19.5" style="13" customWidth="1"/>
    <col min="3844" max="3844" width="10.5" style="13" customWidth="1"/>
    <col min="3845" max="3846" width="9.1640625" style="13" customWidth="1"/>
    <col min="3847" max="3847" width="16.6640625" style="13" customWidth="1"/>
    <col min="3848" max="3848" width="23.5" style="13" customWidth="1"/>
    <col min="3849" max="3849" width="21" style="13" customWidth="1"/>
    <col min="3850" max="3850" width="14.5" style="13" customWidth="1"/>
    <col min="3851" max="4096" width="9.1640625" style="13"/>
    <col min="4097" max="4097" width="9.1640625" style="13" customWidth="1"/>
    <col min="4098" max="4098" width="16.1640625" style="13" customWidth="1"/>
    <col min="4099" max="4099" width="19.5" style="13" customWidth="1"/>
    <col min="4100" max="4100" width="10.5" style="13" customWidth="1"/>
    <col min="4101" max="4102" width="9.1640625" style="13" customWidth="1"/>
    <col min="4103" max="4103" width="16.6640625" style="13" customWidth="1"/>
    <col min="4104" max="4104" width="23.5" style="13" customWidth="1"/>
    <col min="4105" max="4105" width="21" style="13" customWidth="1"/>
    <col min="4106" max="4106" width="14.5" style="13" customWidth="1"/>
    <col min="4107" max="4352" width="9.1640625" style="13"/>
    <col min="4353" max="4353" width="9.1640625" style="13" customWidth="1"/>
    <col min="4354" max="4354" width="16.1640625" style="13" customWidth="1"/>
    <col min="4355" max="4355" width="19.5" style="13" customWidth="1"/>
    <col min="4356" max="4356" width="10.5" style="13" customWidth="1"/>
    <col min="4357" max="4358" width="9.1640625" style="13" customWidth="1"/>
    <col min="4359" max="4359" width="16.6640625" style="13" customWidth="1"/>
    <col min="4360" max="4360" width="23.5" style="13" customWidth="1"/>
    <col min="4361" max="4361" width="21" style="13" customWidth="1"/>
    <col min="4362" max="4362" width="14.5" style="13" customWidth="1"/>
    <col min="4363" max="4608" width="9.1640625" style="13"/>
    <col min="4609" max="4609" width="9.1640625" style="13" customWidth="1"/>
    <col min="4610" max="4610" width="16.1640625" style="13" customWidth="1"/>
    <col min="4611" max="4611" width="19.5" style="13" customWidth="1"/>
    <col min="4612" max="4612" width="10.5" style="13" customWidth="1"/>
    <col min="4613" max="4614" width="9.1640625" style="13" customWidth="1"/>
    <col min="4615" max="4615" width="16.6640625" style="13" customWidth="1"/>
    <col min="4616" max="4616" width="23.5" style="13" customWidth="1"/>
    <col min="4617" max="4617" width="21" style="13" customWidth="1"/>
    <col min="4618" max="4618" width="14.5" style="13" customWidth="1"/>
    <col min="4619" max="4864" width="9.1640625" style="13"/>
    <col min="4865" max="4865" width="9.1640625" style="13" customWidth="1"/>
    <col min="4866" max="4866" width="16.1640625" style="13" customWidth="1"/>
    <col min="4867" max="4867" width="19.5" style="13" customWidth="1"/>
    <col min="4868" max="4868" width="10.5" style="13" customWidth="1"/>
    <col min="4869" max="4870" width="9.1640625" style="13" customWidth="1"/>
    <col min="4871" max="4871" width="16.6640625" style="13" customWidth="1"/>
    <col min="4872" max="4872" width="23.5" style="13" customWidth="1"/>
    <col min="4873" max="4873" width="21" style="13" customWidth="1"/>
    <col min="4874" max="4874" width="14.5" style="13" customWidth="1"/>
    <col min="4875" max="5120" width="9.1640625" style="13"/>
    <col min="5121" max="5121" width="9.1640625" style="13" customWidth="1"/>
    <col min="5122" max="5122" width="16.1640625" style="13" customWidth="1"/>
    <col min="5123" max="5123" width="19.5" style="13" customWidth="1"/>
    <col min="5124" max="5124" width="10.5" style="13" customWidth="1"/>
    <col min="5125" max="5126" width="9.1640625" style="13" customWidth="1"/>
    <col min="5127" max="5127" width="16.6640625" style="13" customWidth="1"/>
    <col min="5128" max="5128" width="23.5" style="13" customWidth="1"/>
    <col min="5129" max="5129" width="21" style="13" customWidth="1"/>
    <col min="5130" max="5130" width="14.5" style="13" customWidth="1"/>
    <col min="5131" max="5376" width="9.1640625" style="13"/>
    <col min="5377" max="5377" width="9.1640625" style="13" customWidth="1"/>
    <col min="5378" max="5378" width="16.1640625" style="13" customWidth="1"/>
    <col min="5379" max="5379" width="19.5" style="13" customWidth="1"/>
    <col min="5380" max="5380" width="10.5" style="13" customWidth="1"/>
    <col min="5381" max="5382" width="9.1640625" style="13" customWidth="1"/>
    <col min="5383" max="5383" width="16.6640625" style="13" customWidth="1"/>
    <col min="5384" max="5384" width="23.5" style="13" customWidth="1"/>
    <col min="5385" max="5385" width="21" style="13" customWidth="1"/>
    <col min="5386" max="5386" width="14.5" style="13" customWidth="1"/>
    <col min="5387" max="5632" width="9.1640625" style="13"/>
    <col min="5633" max="5633" width="9.1640625" style="13" customWidth="1"/>
    <col min="5634" max="5634" width="16.1640625" style="13" customWidth="1"/>
    <col min="5635" max="5635" width="19.5" style="13" customWidth="1"/>
    <col min="5636" max="5636" width="10.5" style="13" customWidth="1"/>
    <col min="5637" max="5638" width="9.1640625" style="13" customWidth="1"/>
    <col min="5639" max="5639" width="16.6640625" style="13" customWidth="1"/>
    <col min="5640" max="5640" width="23.5" style="13" customWidth="1"/>
    <col min="5641" max="5641" width="21" style="13" customWidth="1"/>
    <col min="5642" max="5642" width="14.5" style="13" customWidth="1"/>
    <col min="5643" max="5888" width="9.1640625" style="13"/>
    <col min="5889" max="5889" width="9.1640625" style="13" customWidth="1"/>
    <col min="5890" max="5890" width="16.1640625" style="13" customWidth="1"/>
    <col min="5891" max="5891" width="19.5" style="13" customWidth="1"/>
    <col min="5892" max="5892" width="10.5" style="13" customWidth="1"/>
    <col min="5893" max="5894" width="9.1640625" style="13" customWidth="1"/>
    <col min="5895" max="5895" width="16.6640625" style="13" customWidth="1"/>
    <col min="5896" max="5896" width="23.5" style="13" customWidth="1"/>
    <col min="5897" max="5897" width="21" style="13" customWidth="1"/>
    <col min="5898" max="5898" width="14.5" style="13" customWidth="1"/>
    <col min="5899" max="6144" width="9.1640625" style="13"/>
    <col min="6145" max="6145" width="9.1640625" style="13" customWidth="1"/>
    <col min="6146" max="6146" width="16.1640625" style="13" customWidth="1"/>
    <col min="6147" max="6147" width="19.5" style="13" customWidth="1"/>
    <col min="6148" max="6148" width="10.5" style="13" customWidth="1"/>
    <col min="6149" max="6150" width="9.1640625" style="13" customWidth="1"/>
    <col min="6151" max="6151" width="16.6640625" style="13" customWidth="1"/>
    <col min="6152" max="6152" width="23.5" style="13" customWidth="1"/>
    <col min="6153" max="6153" width="21" style="13" customWidth="1"/>
    <col min="6154" max="6154" width="14.5" style="13" customWidth="1"/>
    <col min="6155" max="6400" width="9.1640625" style="13"/>
    <col min="6401" max="6401" width="9.1640625" style="13" customWidth="1"/>
    <col min="6402" max="6402" width="16.1640625" style="13" customWidth="1"/>
    <col min="6403" max="6403" width="19.5" style="13" customWidth="1"/>
    <col min="6404" max="6404" width="10.5" style="13" customWidth="1"/>
    <col min="6405" max="6406" width="9.1640625" style="13" customWidth="1"/>
    <col min="6407" max="6407" width="16.6640625" style="13" customWidth="1"/>
    <col min="6408" max="6408" width="23.5" style="13" customWidth="1"/>
    <col min="6409" max="6409" width="21" style="13" customWidth="1"/>
    <col min="6410" max="6410" width="14.5" style="13" customWidth="1"/>
    <col min="6411" max="6656" width="9.1640625" style="13"/>
    <col min="6657" max="6657" width="9.1640625" style="13" customWidth="1"/>
    <col min="6658" max="6658" width="16.1640625" style="13" customWidth="1"/>
    <col min="6659" max="6659" width="19.5" style="13" customWidth="1"/>
    <col min="6660" max="6660" width="10.5" style="13" customWidth="1"/>
    <col min="6661" max="6662" width="9.1640625" style="13" customWidth="1"/>
    <col min="6663" max="6663" width="16.6640625" style="13" customWidth="1"/>
    <col min="6664" max="6664" width="23.5" style="13" customWidth="1"/>
    <col min="6665" max="6665" width="21" style="13" customWidth="1"/>
    <col min="6666" max="6666" width="14.5" style="13" customWidth="1"/>
    <col min="6667" max="6912" width="9.1640625" style="13"/>
    <col min="6913" max="6913" width="9.1640625" style="13" customWidth="1"/>
    <col min="6914" max="6914" width="16.1640625" style="13" customWidth="1"/>
    <col min="6915" max="6915" width="19.5" style="13" customWidth="1"/>
    <col min="6916" max="6916" width="10.5" style="13" customWidth="1"/>
    <col min="6917" max="6918" width="9.1640625" style="13" customWidth="1"/>
    <col min="6919" max="6919" width="16.6640625" style="13" customWidth="1"/>
    <col min="6920" max="6920" width="23.5" style="13" customWidth="1"/>
    <col min="6921" max="6921" width="21" style="13" customWidth="1"/>
    <col min="6922" max="6922" width="14.5" style="13" customWidth="1"/>
    <col min="6923" max="7168" width="9.1640625" style="13"/>
    <col min="7169" max="7169" width="9.1640625" style="13" customWidth="1"/>
    <col min="7170" max="7170" width="16.1640625" style="13" customWidth="1"/>
    <col min="7171" max="7171" width="19.5" style="13" customWidth="1"/>
    <col min="7172" max="7172" width="10.5" style="13" customWidth="1"/>
    <col min="7173" max="7174" width="9.1640625" style="13" customWidth="1"/>
    <col min="7175" max="7175" width="16.6640625" style="13" customWidth="1"/>
    <col min="7176" max="7176" width="23.5" style="13" customWidth="1"/>
    <col min="7177" max="7177" width="21" style="13" customWidth="1"/>
    <col min="7178" max="7178" width="14.5" style="13" customWidth="1"/>
    <col min="7179" max="7424" width="9.1640625" style="13"/>
    <col min="7425" max="7425" width="9.1640625" style="13" customWidth="1"/>
    <col min="7426" max="7426" width="16.1640625" style="13" customWidth="1"/>
    <col min="7427" max="7427" width="19.5" style="13" customWidth="1"/>
    <col min="7428" max="7428" width="10.5" style="13" customWidth="1"/>
    <col min="7429" max="7430" width="9.1640625" style="13" customWidth="1"/>
    <col min="7431" max="7431" width="16.6640625" style="13" customWidth="1"/>
    <col min="7432" max="7432" width="23.5" style="13" customWidth="1"/>
    <col min="7433" max="7433" width="21" style="13" customWidth="1"/>
    <col min="7434" max="7434" width="14.5" style="13" customWidth="1"/>
    <col min="7435" max="7680" width="9.1640625" style="13"/>
    <col min="7681" max="7681" width="9.1640625" style="13" customWidth="1"/>
    <col min="7682" max="7682" width="16.1640625" style="13" customWidth="1"/>
    <col min="7683" max="7683" width="19.5" style="13" customWidth="1"/>
    <col min="7684" max="7684" width="10.5" style="13" customWidth="1"/>
    <col min="7685" max="7686" width="9.1640625" style="13" customWidth="1"/>
    <col min="7687" max="7687" width="16.6640625" style="13" customWidth="1"/>
    <col min="7688" max="7688" width="23.5" style="13" customWidth="1"/>
    <col min="7689" max="7689" width="21" style="13" customWidth="1"/>
    <col min="7690" max="7690" width="14.5" style="13" customWidth="1"/>
    <col min="7691" max="7936" width="9.1640625" style="13"/>
    <col min="7937" max="7937" width="9.1640625" style="13" customWidth="1"/>
    <col min="7938" max="7938" width="16.1640625" style="13" customWidth="1"/>
    <col min="7939" max="7939" width="19.5" style="13" customWidth="1"/>
    <col min="7940" max="7940" width="10.5" style="13" customWidth="1"/>
    <col min="7941" max="7942" width="9.1640625" style="13" customWidth="1"/>
    <col min="7943" max="7943" width="16.6640625" style="13" customWidth="1"/>
    <col min="7944" max="7944" width="23.5" style="13" customWidth="1"/>
    <col min="7945" max="7945" width="21" style="13" customWidth="1"/>
    <col min="7946" max="7946" width="14.5" style="13" customWidth="1"/>
    <col min="7947" max="8192" width="9.1640625" style="13"/>
    <col min="8193" max="8193" width="9.1640625" style="13" customWidth="1"/>
    <col min="8194" max="8194" width="16.1640625" style="13" customWidth="1"/>
    <col min="8195" max="8195" width="19.5" style="13" customWidth="1"/>
    <col min="8196" max="8196" width="10.5" style="13" customWidth="1"/>
    <col min="8197" max="8198" width="9.1640625" style="13" customWidth="1"/>
    <col min="8199" max="8199" width="16.6640625" style="13" customWidth="1"/>
    <col min="8200" max="8200" width="23.5" style="13" customWidth="1"/>
    <col min="8201" max="8201" width="21" style="13" customWidth="1"/>
    <col min="8202" max="8202" width="14.5" style="13" customWidth="1"/>
    <col min="8203" max="8448" width="9.1640625" style="13"/>
    <col min="8449" max="8449" width="9.1640625" style="13" customWidth="1"/>
    <col min="8450" max="8450" width="16.1640625" style="13" customWidth="1"/>
    <col min="8451" max="8451" width="19.5" style="13" customWidth="1"/>
    <col min="8452" max="8452" width="10.5" style="13" customWidth="1"/>
    <col min="8453" max="8454" width="9.1640625" style="13" customWidth="1"/>
    <col min="8455" max="8455" width="16.6640625" style="13" customWidth="1"/>
    <col min="8456" max="8456" width="23.5" style="13" customWidth="1"/>
    <col min="8457" max="8457" width="21" style="13" customWidth="1"/>
    <col min="8458" max="8458" width="14.5" style="13" customWidth="1"/>
    <col min="8459" max="8704" width="9.1640625" style="13"/>
    <col min="8705" max="8705" width="9.1640625" style="13" customWidth="1"/>
    <col min="8706" max="8706" width="16.1640625" style="13" customWidth="1"/>
    <col min="8707" max="8707" width="19.5" style="13" customWidth="1"/>
    <col min="8708" max="8708" width="10.5" style="13" customWidth="1"/>
    <col min="8709" max="8710" width="9.1640625" style="13" customWidth="1"/>
    <col min="8711" max="8711" width="16.6640625" style="13" customWidth="1"/>
    <col min="8712" max="8712" width="23.5" style="13" customWidth="1"/>
    <col min="8713" max="8713" width="21" style="13" customWidth="1"/>
    <col min="8714" max="8714" width="14.5" style="13" customWidth="1"/>
    <col min="8715" max="8960" width="9.1640625" style="13"/>
    <col min="8961" max="8961" width="9.1640625" style="13" customWidth="1"/>
    <col min="8962" max="8962" width="16.1640625" style="13" customWidth="1"/>
    <col min="8963" max="8963" width="19.5" style="13" customWidth="1"/>
    <col min="8964" max="8964" width="10.5" style="13" customWidth="1"/>
    <col min="8965" max="8966" width="9.1640625" style="13" customWidth="1"/>
    <col min="8967" max="8967" width="16.6640625" style="13" customWidth="1"/>
    <col min="8968" max="8968" width="23.5" style="13" customWidth="1"/>
    <col min="8969" max="8969" width="21" style="13" customWidth="1"/>
    <col min="8970" max="8970" width="14.5" style="13" customWidth="1"/>
    <col min="8971" max="9216" width="9.1640625" style="13"/>
    <col min="9217" max="9217" width="9.1640625" style="13" customWidth="1"/>
    <col min="9218" max="9218" width="16.1640625" style="13" customWidth="1"/>
    <col min="9219" max="9219" width="19.5" style="13" customWidth="1"/>
    <col min="9220" max="9220" width="10.5" style="13" customWidth="1"/>
    <col min="9221" max="9222" width="9.1640625" style="13" customWidth="1"/>
    <col min="9223" max="9223" width="16.6640625" style="13" customWidth="1"/>
    <col min="9224" max="9224" width="23.5" style="13" customWidth="1"/>
    <col min="9225" max="9225" width="21" style="13" customWidth="1"/>
    <col min="9226" max="9226" width="14.5" style="13" customWidth="1"/>
    <col min="9227" max="9472" width="9.1640625" style="13"/>
    <col min="9473" max="9473" width="9.1640625" style="13" customWidth="1"/>
    <col min="9474" max="9474" width="16.1640625" style="13" customWidth="1"/>
    <col min="9475" max="9475" width="19.5" style="13" customWidth="1"/>
    <col min="9476" max="9476" width="10.5" style="13" customWidth="1"/>
    <col min="9477" max="9478" width="9.1640625" style="13" customWidth="1"/>
    <col min="9479" max="9479" width="16.6640625" style="13" customWidth="1"/>
    <col min="9480" max="9480" width="23.5" style="13" customWidth="1"/>
    <col min="9481" max="9481" width="21" style="13" customWidth="1"/>
    <col min="9482" max="9482" width="14.5" style="13" customWidth="1"/>
    <col min="9483" max="9728" width="9.1640625" style="13"/>
    <col min="9729" max="9729" width="9.1640625" style="13" customWidth="1"/>
    <col min="9730" max="9730" width="16.1640625" style="13" customWidth="1"/>
    <col min="9731" max="9731" width="19.5" style="13" customWidth="1"/>
    <col min="9732" max="9732" width="10.5" style="13" customWidth="1"/>
    <col min="9733" max="9734" width="9.1640625" style="13" customWidth="1"/>
    <col min="9735" max="9735" width="16.6640625" style="13" customWidth="1"/>
    <col min="9736" max="9736" width="23.5" style="13" customWidth="1"/>
    <col min="9737" max="9737" width="21" style="13" customWidth="1"/>
    <col min="9738" max="9738" width="14.5" style="13" customWidth="1"/>
    <col min="9739" max="9984" width="9.1640625" style="13"/>
    <col min="9985" max="9985" width="9.1640625" style="13" customWidth="1"/>
    <col min="9986" max="9986" width="16.1640625" style="13" customWidth="1"/>
    <col min="9987" max="9987" width="19.5" style="13" customWidth="1"/>
    <col min="9988" max="9988" width="10.5" style="13" customWidth="1"/>
    <col min="9989" max="9990" width="9.1640625" style="13" customWidth="1"/>
    <col min="9991" max="9991" width="16.6640625" style="13" customWidth="1"/>
    <col min="9992" max="9992" width="23.5" style="13" customWidth="1"/>
    <col min="9993" max="9993" width="21" style="13" customWidth="1"/>
    <col min="9994" max="9994" width="14.5" style="13" customWidth="1"/>
    <col min="9995" max="10240" width="9.1640625" style="13"/>
    <col min="10241" max="10241" width="9.1640625" style="13" customWidth="1"/>
    <col min="10242" max="10242" width="16.1640625" style="13" customWidth="1"/>
    <col min="10243" max="10243" width="19.5" style="13" customWidth="1"/>
    <col min="10244" max="10244" width="10.5" style="13" customWidth="1"/>
    <col min="10245" max="10246" width="9.1640625" style="13" customWidth="1"/>
    <col min="10247" max="10247" width="16.6640625" style="13" customWidth="1"/>
    <col min="10248" max="10248" width="23.5" style="13" customWidth="1"/>
    <col min="10249" max="10249" width="21" style="13" customWidth="1"/>
    <col min="10250" max="10250" width="14.5" style="13" customWidth="1"/>
    <col min="10251" max="10496" width="9.1640625" style="13"/>
    <col min="10497" max="10497" width="9.1640625" style="13" customWidth="1"/>
    <col min="10498" max="10498" width="16.1640625" style="13" customWidth="1"/>
    <col min="10499" max="10499" width="19.5" style="13" customWidth="1"/>
    <col min="10500" max="10500" width="10.5" style="13" customWidth="1"/>
    <col min="10501" max="10502" width="9.1640625" style="13" customWidth="1"/>
    <col min="10503" max="10503" width="16.6640625" style="13" customWidth="1"/>
    <col min="10504" max="10504" width="23.5" style="13" customWidth="1"/>
    <col min="10505" max="10505" width="21" style="13" customWidth="1"/>
    <col min="10506" max="10506" width="14.5" style="13" customWidth="1"/>
    <col min="10507" max="10752" width="9.1640625" style="13"/>
    <col min="10753" max="10753" width="9.1640625" style="13" customWidth="1"/>
    <col min="10754" max="10754" width="16.1640625" style="13" customWidth="1"/>
    <col min="10755" max="10755" width="19.5" style="13" customWidth="1"/>
    <col min="10756" max="10756" width="10.5" style="13" customWidth="1"/>
    <col min="10757" max="10758" width="9.1640625" style="13" customWidth="1"/>
    <col min="10759" max="10759" width="16.6640625" style="13" customWidth="1"/>
    <col min="10760" max="10760" width="23.5" style="13" customWidth="1"/>
    <col min="10761" max="10761" width="21" style="13" customWidth="1"/>
    <col min="10762" max="10762" width="14.5" style="13" customWidth="1"/>
    <col min="10763" max="11008" width="9.1640625" style="13"/>
    <col min="11009" max="11009" width="9.1640625" style="13" customWidth="1"/>
    <col min="11010" max="11010" width="16.1640625" style="13" customWidth="1"/>
    <col min="11011" max="11011" width="19.5" style="13" customWidth="1"/>
    <col min="11012" max="11012" width="10.5" style="13" customWidth="1"/>
    <col min="11013" max="11014" width="9.1640625" style="13" customWidth="1"/>
    <col min="11015" max="11015" width="16.6640625" style="13" customWidth="1"/>
    <col min="11016" max="11016" width="23.5" style="13" customWidth="1"/>
    <col min="11017" max="11017" width="21" style="13" customWidth="1"/>
    <col min="11018" max="11018" width="14.5" style="13" customWidth="1"/>
    <col min="11019" max="11264" width="9.1640625" style="13"/>
    <col min="11265" max="11265" width="9.1640625" style="13" customWidth="1"/>
    <col min="11266" max="11266" width="16.1640625" style="13" customWidth="1"/>
    <col min="11267" max="11267" width="19.5" style="13" customWidth="1"/>
    <col min="11268" max="11268" width="10.5" style="13" customWidth="1"/>
    <col min="11269" max="11270" width="9.1640625" style="13" customWidth="1"/>
    <col min="11271" max="11271" width="16.6640625" style="13" customWidth="1"/>
    <col min="11272" max="11272" width="23.5" style="13" customWidth="1"/>
    <col min="11273" max="11273" width="21" style="13" customWidth="1"/>
    <col min="11274" max="11274" width="14.5" style="13" customWidth="1"/>
    <col min="11275" max="11520" width="9.1640625" style="13"/>
    <col min="11521" max="11521" width="9.1640625" style="13" customWidth="1"/>
    <col min="11522" max="11522" width="16.1640625" style="13" customWidth="1"/>
    <col min="11523" max="11523" width="19.5" style="13" customWidth="1"/>
    <col min="11524" max="11524" width="10.5" style="13" customWidth="1"/>
    <col min="11525" max="11526" width="9.1640625" style="13" customWidth="1"/>
    <col min="11527" max="11527" width="16.6640625" style="13" customWidth="1"/>
    <col min="11528" max="11528" width="23.5" style="13" customWidth="1"/>
    <col min="11529" max="11529" width="21" style="13" customWidth="1"/>
    <col min="11530" max="11530" width="14.5" style="13" customWidth="1"/>
    <col min="11531" max="11776" width="9.1640625" style="13"/>
    <col min="11777" max="11777" width="9.1640625" style="13" customWidth="1"/>
    <col min="11778" max="11778" width="16.1640625" style="13" customWidth="1"/>
    <col min="11779" max="11779" width="19.5" style="13" customWidth="1"/>
    <col min="11780" max="11780" width="10.5" style="13" customWidth="1"/>
    <col min="11781" max="11782" width="9.1640625" style="13" customWidth="1"/>
    <col min="11783" max="11783" width="16.6640625" style="13" customWidth="1"/>
    <col min="11784" max="11784" width="23.5" style="13" customWidth="1"/>
    <col min="11785" max="11785" width="21" style="13" customWidth="1"/>
    <col min="11786" max="11786" width="14.5" style="13" customWidth="1"/>
    <col min="11787" max="12032" width="9.1640625" style="13"/>
    <col min="12033" max="12033" width="9.1640625" style="13" customWidth="1"/>
    <col min="12034" max="12034" width="16.1640625" style="13" customWidth="1"/>
    <col min="12035" max="12035" width="19.5" style="13" customWidth="1"/>
    <col min="12036" max="12036" width="10.5" style="13" customWidth="1"/>
    <col min="12037" max="12038" width="9.1640625" style="13" customWidth="1"/>
    <col min="12039" max="12039" width="16.6640625" style="13" customWidth="1"/>
    <col min="12040" max="12040" width="23.5" style="13" customWidth="1"/>
    <col min="12041" max="12041" width="21" style="13" customWidth="1"/>
    <col min="12042" max="12042" width="14.5" style="13" customWidth="1"/>
    <col min="12043" max="12288" width="9.1640625" style="13"/>
    <col min="12289" max="12289" width="9.1640625" style="13" customWidth="1"/>
    <col min="12290" max="12290" width="16.1640625" style="13" customWidth="1"/>
    <col min="12291" max="12291" width="19.5" style="13" customWidth="1"/>
    <col min="12292" max="12292" width="10.5" style="13" customWidth="1"/>
    <col min="12293" max="12294" width="9.1640625" style="13" customWidth="1"/>
    <col min="12295" max="12295" width="16.6640625" style="13" customWidth="1"/>
    <col min="12296" max="12296" width="23.5" style="13" customWidth="1"/>
    <col min="12297" max="12297" width="21" style="13" customWidth="1"/>
    <col min="12298" max="12298" width="14.5" style="13" customWidth="1"/>
    <col min="12299" max="12544" width="9.1640625" style="13"/>
    <col min="12545" max="12545" width="9.1640625" style="13" customWidth="1"/>
    <col min="12546" max="12546" width="16.1640625" style="13" customWidth="1"/>
    <col min="12547" max="12547" width="19.5" style="13" customWidth="1"/>
    <col min="12548" max="12548" width="10.5" style="13" customWidth="1"/>
    <col min="12549" max="12550" width="9.1640625" style="13" customWidth="1"/>
    <col min="12551" max="12551" width="16.6640625" style="13" customWidth="1"/>
    <col min="12552" max="12552" width="23.5" style="13" customWidth="1"/>
    <col min="12553" max="12553" width="21" style="13" customWidth="1"/>
    <col min="12554" max="12554" width="14.5" style="13" customWidth="1"/>
    <col min="12555" max="12800" width="9.1640625" style="13"/>
    <col min="12801" max="12801" width="9.1640625" style="13" customWidth="1"/>
    <col min="12802" max="12802" width="16.1640625" style="13" customWidth="1"/>
    <col min="12803" max="12803" width="19.5" style="13" customWidth="1"/>
    <col min="12804" max="12804" width="10.5" style="13" customWidth="1"/>
    <col min="12805" max="12806" width="9.1640625" style="13" customWidth="1"/>
    <col min="12807" max="12807" width="16.6640625" style="13" customWidth="1"/>
    <col min="12808" max="12808" width="23.5" style="13" customWidth="1"/>
    <col min="12809" max="12809" width="21" style="13" customWidth="1"/>
    <col min="12810" max="12810" width="14.5" style="13" customWidth="1"/>
    <col min="12811" max="13056" width="9.1640625" style="13"/>
    <col min="13057" max="13057" width="9.1640625" style="13" customWidth="1"/>
    <col min="13058" max="13058" width="16.1640625" style="13" customWidth="1"/>
    <col min="13059" max="13059" width="19.5" style="13" customWidth="1"/>
    <col min="13060" max="13060" width="10.5" style="13" customWidth="1"/>
    <col min="13061" max="13062" width="9.1640625" style="13" customWidth="1"/>
    <col min="13063" max="13063" width="16.6640625" style="13" customWidth="1"/>
    <col min="13064" max="13064" width="23.5" style="13" customWidth="1"/>
    <col min="13065" max="13065" width="21" style="13" customWidth="1"/>
    <col min="13066" max="13066" width="14.5" style="13" customWidth="1"/>
    <col min="13067" max="13312" width="9.1640625" style="13"/>
    <col min="13313" max="13313" width="9.1640625" style="13" customWidth="1"/>
    <col min="13314" max="13314" width="16.1640625" style="13" customWidth="1"/>
    <col min="13315" max="13315" width="19.5" style="13" customWidth="1"/>
    <col min="13316" max="13316" width="10.5" style="13" customWidth="1"/>
    <col min="13317" max="13318" width="9.1640625" style="13" customWidth="1"/>
    <col min="13319" max="13319" width="16.6640625" style="13" customWidth="1"/>
    <col min="13320" max="13320" width="23.5" style="13" customWidth="1"/>
    <col min="13321" max="13321" width="21" style="13" customWidth="1"/>
    <col min="13322" max="13322" width="14.5" style="13" customWidth="1"/>
    <col min="13323" max="13568" width="9.1640625" style="13"/>
    <col min="13569" max="13569" width="9.1640625" style="13" customWidth="1"/>
    <col min="13570" max="13570" width="16.1640625" style="13" customWidth="1"/>
    <col min="13571" max="13571" width="19.5" style="13" customWidth="1"/>
    <col min="13572" max="13572" width="10.5" style="13" customWidth="1"/>
    <col min="13573" max="13574" width="9.1640625" style="13" customWidth="1"/>
    <col min="13575" max="13575" width="16.6640625" style="13" customWidth="1"/>
    <col min="13576" max="13576" width="23.5" style="13" customWidth="1"/>
    <col min="13577" max="13577" width="21" style="13" customWidth="1"/>
    <col min="13578" max="13578" width="14.5" style="13" customWidth="1"/>
    <col min="13579" max="13824" width="9.1640625" style="13"/>
    <col min="13825" max="13825" width="9.1640625" style="13" customWidth="1"/>
    <col min="13826" max="13826" width="16.1640625" style="13" customWidth="1"/>
    <col min="13827" max="13827" width="19.5" style="13" customWidth="1"/>
    <col min="13828" max="13828" width="10.5" style="13" customWidth="1"/>
    <col min="13829" max="13830" width="9.1640625" style="13" customWidth="1"/>
    <col min="13831" max="13831" width="16.6640625" style="13" customWidth="1"/>
    <col min="13832" max="13832" width="23.5" style="13" customWidth="1"/>
    <col min="13833" max="13833" width="21" style="13" customWidth="1"/>
    <col min="13834" max="13834" width="14.5" style="13" customWidth="1"/>
    <col min="13835" max="14080" width="9.1640625" style="13"/>
    <col min="14081" max="14081" width="9.1640625" style="13" customWidth="1"/>
    <col min="14082" max="14082" width="16.1640625" style="13" customWidth="1"/>
    <col min="14083" max="14083" width="19.5" style="13" customWidth="1"/>
    <col min="14084" max="14084" width="10.5" style="13" customWidth="1"/>
    <col min="14085" max="14086" width="9.1640625" style="13" customWidth="1"/>
    <col min="14087" max="14087" width="16.6640625" style="13" customWidth="1"/>
    <col min="14088" max="14088" width="23.5" style="13" customWidth="1"/>
    <col min="14089" max="14089" width="21" style="13" customWidth="1"/>
    <col min="14090" max="14090" width="14.5" style="13" customWidth="1"/>
    <col min="14091" max="14336" width="9.1640625" style="13"/>
    <col min="14337" max="14337" width="9.1640625" style="13" customWidth="1"/>
    <col min="14338" max="14338" width="16.1640625" style="13" customWidth="1"/>
    <col min="14339" max="14339" width="19.5" style="13" customWidth="1"/>
    <col min="14340" max="14340" width="10.5" style="13" customWidth="1"/>
    <col min="14341" max="14342" width="9.1640625" style="13" customWidth="1"/>
    <col min="14343" max="14343" width="16.6640625" style="13" customWidth="1"/>
    <col min="14344" max="14344" width="23.5" style="13" customWidth="1"/>
    <col min="14345" max="14345" width="21" style="13" customWidth="1"/>
    <col min="14346" max="14346" width="14.5" style="13" customWidth="1"/>
    <col min="14347" max="14592" width="9.1640625" style="13"/>
    <col min="14593" max="14593" width="9.1640625" style="13" customWidth="1"/>
    <col min="14594" max="14594" width="16.1640625" style="13" customWidth="1"/>
    <col min="14595" max="14595" width="19.5" style="13" customWidth="1"/>
    <col min="14596" max="14596" width="10.5" style="13" customWidth="1"/>
    <col min="14597" max="14598" width="9.1640625" style="13" customWidth="1"/>
    <col min="14599" max="14599" width="16.6640625" style="13" customWidth="1"/>
    <col min="14600" max="14600" width="23.5" style="13" customWidth="1"/>
    <col min="14601" max="14601" width="21" style="13" customWidth="1"/>
    <col min="14602" max="14602" width="14.5" style="13" customWidth="1"/>
    <col min="14603" max="14848" width="9.1640625" style="13"/>
    <col min="14849" max="14849" width="9.1640625" style="13" customWidth="1"/>
    <col min="14850" max="14850" width="16.1640625" style="13" customWidth="1"/>
    <col min="14851" max="14851" width="19.5" style="13" customWidth="1"/>
    <col min="14852" max="14852" width="10.5" style="13" customWidth="1"/>
    <col min="14853" max="14854" width="9.1640625" style="13" customWidth="1"/>
    <col min="14855" max="14855" width="16.6640625" style="13" customWidth="1"/>
    <col min="14856" max="14856" width="23.5" style="13" customWidth="1"/>
    <col min="14857" max="14857" width="21" style="13" customWidth="1"/>
    <col min="14858" max="14858" width="14.5" style="13" customWidth="1"/>
    <col min="14859" max="15104" width="9.1640625" style="13"/>
    <col min="15105" max="15105" width="9.1640625" style="13" customWidth="1"/>
    <col min="15106" max="15106" width="16.1640625" style="13" customWidth="1"/>
    <col min="15107" max="15107" width="19.5" style="13" customWidth="1"/>
    <col min="15108" max="15108" width="10.5" style="13" customWidth="1"/>
    <col min="15109" max="15110" width="9.1640625" style="13" customWidth="1"/>
    <col min="15111" max="15111" width="16.6640625" style="13" customWidth="1"/>
    <col min="15112" max="15112" width="23.5" style="13" customWidth="1"/>
    <col min="15113" max="15113" width="21" style="13" customWidth="1"/>
    <col min="15114" max="15114" width="14.5" style="13" customWidth="1"/>
    <col min="15115" max="15360" width="9.1640625" style="13"/>
    <col min="15361" max="15361" width="9.1640625" style="13" customWidth="1"/>
    <col min="15362" max="15362" width="16.1640625" style="13" customWidth="1"/>
    <col min="15363" max="15363" width="19.5" style="13" customWidth="1"/>
    <col min="15364" max="15364" width="10.5" style="13" customWidth="1"/>
    <col min="15365" max="15366" width="9.1640625" style="13" customWidth="1"/>
    <col min="15367" max="15367" width="16.6640625" style="13" customWidth="1"/>
    <col min="15368" max="15368" width="23.5" style="13" customWidth="1"/>
    <col min="15369" max="15369" width="21" style="13" customWidth="1"/>
    <col min="15370" max="15370" width="14.5" style="13" customWidth="1"/>
    <col min="15371" max="15616" width="9.1640625" style="13"/>
    <col min="15617" max="15617" width="9.1640625" style="13" customWidth="1"/>
    <col min="15618" max="15618" width="16.1640625" style="13" customWidth="1"/>
    <col min="15619" max="15619" width="19.5" style="13" customWidth="1"/>
    <col min="15620" max="15620" width="10.5" style="13" customWidth="1"/>
    <col min="15621" max="15622" width="9.1640625" style="13" customWidth="1"/>
    <col min="15623" max="15623" width="16.6640625" style="13" customWidth="1"/>
    <col min="15624" max="15624" width="23.5" style="13" customWidth="1"/>
    <col min="15625" max="15625" width="21" style="13" customWidth="1"/>
    <col min="15626" max="15626" width="14.5" style="13" customWidth="1"/>
    <col min="15627" max="15872" width="9.1640625" style="13"/>
    <col min="15873" max="15873" width="9.1640625" style="13" customWidth="1"/>
    <col min="15874" max="15874" width="16.1640625" style="13" customWidth="1"/>
    <col min="15875" max="15875" width="19.5" style="13" customWidth="1"/>
    <col min="15876" max="15876" width="10.5" style="13" customWidth="1"/>
    <col min="15877" max="15878" width="9.1640625" style="13" customWidth="1"/>
    <col min="15879" max="15879" width="16.6640625" style="13" customWidth="1"/>
    <col min="15880" max="15880" width="23.5" style="13" customWidth="1"/>
    <col min="15881" max="15881" width="21" style="13" customWidth="1"/>
    <col min="15882" max="15882" width="14.5" style="13" customWidth="1"/>
    <col min="15883" max="16128" width="9.1640625" style="13"/>
    <col min="16129" max="16129" width="9.1640625" style="13" customWidth="1"/>
    <col min="16130" max="16130" width="16.1640625" style="13" customWidth="1"/>
    <col min="16131" max="16131" width="19.5" style="13" customWidth="1"/>
    <col min="16132" max="16132" width="10.5" style="13" customWidth="1"/>
    <col min="16133" max="16134" width="9.1640625" style="13" customWidth="1"/>
    <col min="16135" max="16135" width="16.6640625" style="13" customWidth="1"/>
    <col min="16136" max="16136" width="23.5" style="13" customWidth="1"/>
    <col min="16137" max="16137" width="21" style="13" customWidth="1"/>
    <col min="16138" max="16138" width="14.5" style="13" customWidth="1"/>
    <col min="16139" max="16384" width="9.1640625" style="13"/>
  </cols>
  <sheetData>
    <row r="1" spans="1:3" ht="15" customHeight="1">
      <c r="A1" s="11" t="s">
        <v>173</v>
      </c>
      <c r="B1" s="12"/>
      <c r="C1" s="12"/>
    </row>
    <row r="2" spans="1:3" ht="15" customHeight="1">
      <c r="A2" s="12"/>
      <c r="B2" s="12"/>
      <c r="C2" s="12"/>
    </row>
    <row r="3" spans="1:3">
      <c r="A3" s="12"/>
      <c r="B3" s="14" t="s">
        <v>24</v>
      </c>
      <c r="C3" s="15"/>
    </row>
    <row r="4" spans="1:3">
      <c r="A4" s="12"/>
      <c r="B4" s="16" t="s">
        <v>25</v>
      </c>
      <c r="C4" s="15">
        <f>D41</f>
        <v>19</v>
      </c>
    </row>
    <row r="5" spans="1:3" ht="25">
      <c r="A5" s="12"/>
      <c r="B5" s="16" t="s">
        <v>26</v>
      </c>
      <c r="C5" s="15">
        <f>D35</f>
        <v>15</v>
      </c>
    </row>
    <row r="6" spans="1:3" ht="37">
      <c r="A6" s="12"/>
      <c r="B6" s="16" t="s">
        <v>27</v>
      </c>
      <c r="C6" s="15">
        <v>0</v>
      </c>
    </row>
    <row r="7" spans="1:3">
      <c r="A7" s="12"/>
      <c r="B7" s="16" t="s">
        <v>28</v>
      </c>
      <c r="C7" s="15">
        <v>0</v>
      </c>
    </row>
    <row r="8" spans="1:3" ht="25">
      <c r="A8" s="12"/>
      <c r="B8" s="16" t="s">
        <v>29</v>
      </c>
      <c r="C8" s="15">
        <f>D46</f>
        <v>3</v>
      </c>
    </row>
    <row r="9" spans="1:3">
      <c r="A9" s="12"/>
      <c r="B9" s="16" t="s">
        <v>30</v>
      </c>
      <c r="C9" s="15">
        <f>D49</f>
        <v>1</v>
      </c>
    </row>
    <row r="10" spans="1:3" ht="25">
      <c r="A10" s="12"/>
      <c r="B10" s="16" t="s">
        <v>14</v>
      </c>
      <c r="C10" s="15">
        <v>0</v>
      </c>
    </row>
    <row r="11" spans="1:3">
      <c r="A11" s="12"/>
      <c r="B11" s="16" t="s">
        <v>15</v>
      </c>
      <c r="C11" s="15">
        <v>0</v>
      </c>
    </row>
    <row r="12" spans="1:3" ht="25">
      <c r="A12" s="12"/>
      <c r="B12" s="16" t="s">
        <v>31</v>
      </c>
      <c r="C12" s="15">
        <f>D80</f>
        <v>29</v>
      </c>
    </row>
    <row r="13" spans="1:3" ht="25">
      <c r="A13" s="12"/>
      <c r="B13" s="16" t="s">
        <v>32</v>
      </c>
      <c r="C13" s="15">
        <v>0</v>
      </c>
    </row>
    <row r="14" spans="1:3" ht="37">
      <c r="A14" s="12"/>
      <c r="B14" s="16" t="s">
        <v>33</v>
      </c>
      <c r="C14" s="15">
        <f>D83</f>
        <v>1</v>
      </c>
    </row>
    <row r="15" spans="1:3" ht="25">
      <c r="A15" s="12"/>
      <c r="B15" s="16" t="s">
        <v>4</v>
      </c>
      <c r="C15" s="17">
        <f>C4+C6+C7+C8+C9+C10+C11</f>
        <v>23</v>
      </c>
    </row>
    <row r="16" spans="1:3" ht="37">
      <c r="A16" s="12"/>
      <c r="B16" s="16" t="s">
        <v>34</v>
      </c>
      <c r="C16" s="15">
        <f>F94</f>
        <v>8</v>
      </c>
    </row>
    <row r="17" spans="1:10" ht="15" customHeight="1"/>
    <row r="18" spans="1:10" ht="15" customHeight="1"/>
    <row r="19" spans="1:10" ht="15" customHeight="1">
      <c r="A19" s="18" t="s">
        <v>35</v>
      </c>
      <c r="B19" s="18" t="s">
        <v>36</v>
      </c>
      <c r="C19" s="18" t="s">
        <v>37</v>
      </c>
      <c r="D19" s="18" t="s">
        <v>38</v>
      </c>
      <c r="E19" s="18" t="s">
        <v>39</v>
      </c>
      <c r="F19" s="18" t="s">
        <v>40</v>
      </c>
      <c r="G19" s="18" t="s">
        <v>41</v>
      </c>
      <c r="H19" s="18" t="s">
        <v>42</v>
      </c>
      <c r="I19" s="18" t="s">
        <v>43</v>
      </c>
      <c r="J19" s="19" t="s">
        <v>44</v>
      </c>
    </row>
    <row r="20" spans="1:10" ht="72">
      <c r="A20" s="27">
        <f>HYPERLINK("http://www.westlaw.com/Find/Default.wl?rs=dfa1.0&amp;vr=2.0&amp;DB=506&amp;FindType=Y&amp;SerialNum=2001783235",1)</f>
        <v>1</v>
      </c>
      <c r="B20" s="21" t="s">
        <v>174</v>
      </c>
      <c r="C20" s="21" t="s">
        <v>175</v>
      </c>
      <c r="D20" s="23" t="s">
        <v>47</v>
      </c>
      <c r="E20" s="23" t="s">
        <v>48</v>
      </c>
      <c r="F20" s="23" t="s">
        <v>49</v>
      </c>
    </row>
    <row r="21" spans="1:10" ht="48">
      <c r="A21" s="27">
        <f>HYPERLINK("http://www.westlaw.com/Find/Default.wl?rs=dfa1.0&amp;vr=2.0&amp;DB=506&amp;FindType=Y&amp;SerialNum=2001780306",3)</f>
        <v>3</v>
      </c>
      <c r="B21" s="21" t="s">
        <v>176</v>
      </c>
      <c r="C21" s="21" t="s">
        <v>177</v>
      </c>
      <c r="D21" s="23" t="s">
        <v>47</v>
      </c>
      <c r="E21" s="23" t="s">
        <v>48</v>
      </c>
      <c r="F21" s="23" t="s">
        <v>49</v>
      </c>
    </row>
    <row r="22" spans="1:10" ht="60">
      <c r="A22" s="27">
        <f>HYPERLINK("http://www.westlaw.com/Find/Default.wl?rs=dfa1.0&amp;vr=2.0&amp;DB=506&amp;FindType=Y&amp;SerialNum=2001717631",4)</f>
        <v>4</v>
      </c>
      <c r="B22" s="21" t="s">
        <v>178</v>
      </c>
      <c r="C22" s="21" t="s">
        <v>179</v>
      </c>
      <c r="D22" s="23" t="s">
        <v>47</v>
      </c>
      <c r="E22" s="23" t="s">
        <v>48</v>
      </c>
      <c r="F22" s="23" t="s">
        <v>49</v>
      </c>
    </row>
    <row r="23" spans="1:10" ht="84">
      <c r="A23" s="27">
        <f>HYPERLINK("http://www.westlaw.com/Find/Default.wl?rs=dfa1.0&amp;vr=2.0&amp;DB=506&amp;FindType=Y&amp;SerialNum=2001719680",5)</f>
        <v>5</v>
      </c>
      <c r="B23" s="21" t="s">
        <v>180</v>
      </c>
      <c r="C23" s="21" t="s">
        <v>181</v>
      </c>
      <c r="D23" s="23" t="s">
        <v>47</v>
      </c>
      <c r="E23" s="23" t="s">
        <v>48</v>
      </c>
      <c r="F23" s="23" t="s">
        <v>49</v>
      </c>
    </row>
    <row r="24" spans="1:10" ht="60">
      <c r="A24" s="27">
        <f>HYPERLINK("http://www.westlaw.com/Find/Default.wl?rs=dfa1.0&amp;vr=2.0&amp;DB=506&amp;FindType=Y&amp;SerialNum=2001618731",10)</f>
        <v>10</v>
      </c>
      <c r="B24" s="21" t="s">
        <v>182</v>
      </c>
      <c r="C24" s="21" t="s">
        <v>183</v>
      </c>
      <c r="D24" s="23" t="s">
        <v>47</v>
      </c>
      <c r="E24" s="23" t="s">
        <v>48</v>
      </c>
      <c r="F24" s="23" t="s">
        <v>49</v>
      </c>
    </row>
    <row r="25" spans="1:10" ht="60">
      <c r="A25" s="27">
        <f>HYPERLINK("http://www.westlaw.com/Find/Default.wl?rs=dfa1.0&amp;vr=2.0&amp;DB=506&amp;FindType=Y&amp;SerialNum=2001602460",11)</f>
        <v>11</v>
      </c>
      <c r="B25" s="21" t="s">
        <v>184</v>
      </c>
      <c r="C25" s="21" t="s">
        <v>185</v>
      </c>
      <c r="D25" s="23" t="s">
        <v>47</v>
      </c>
      <c r="E25" s="23" t="s">
        <v>48</v>
      </c>
      <c r="F25" s="23" t="s">
        <v>49</v>
      </c>
    </row>
    <row r="26" spans="1:10" ht="60">
      <c r="A26" s="27">
        <f>HYPERLINK("http://www.westlaw.com/Find/Default.wl?rs=dfa1.0&amp;vr=2.0&amp;DB=506&amp;FindType=Y&amp;SerialNum=2001602579",12)</f>
        <v>12</v>
      </c>
      <c r="B26" s="21" t="s">
        <v>186</v>
      </c>
      <c r="C26" s="21" t="s">
        <v>187</v>
      </c>
      <c r="D26" s="23" t="s">
        <v>47</v>
      </c>
      <c r="E26" s="23" t="s">
        <v>48</v>
      </c>
      <c r="F26" s="23" t="s">
        <v>49</v>
      </c>
    </row>
    <row r="27" spans="1:10" ht="48">
      <c r="A27" s="27">
        <f>HYPERLINK("http://www.westlaw.com/Find/Default.wl?rs=dfa1.0&amp;vr=2.0&amp;DB=506&amp;FindType=Y&amp;SerialNum=2001556859",15)</f>
        <v>15</v>
      </c>
      <c r="B27" s="21" t="s">
        <v>188</v>
      </c>
      <c r="C27" s="21" t="s">
        <v>189</v>
      </c>
      <c r="D27" s="23" t="s">
        <v>47</v>
      </c>
      <c r="E27" s="23" t="s">
        <v>48</v>
      </c>
      <c r="F27" s="23" t="s">
        <v>49</v>
      </c>
    </row>
    <row r="28" spans="1:10" ht="48">
      <c r="A28" s="27">
        <f>HYPERLINK("http://www.westlaw.com/Find/Default.wl?rs=dfa1.0&amp;vr=2.0&amp;DB=506&amp;FindType=Y&amp;SerialNum=2001506752",20)</f>
        <v>20</v>
      </c>
      <c r="B28" s="21" t="s">
        <v>190</v>
      </c>
      <c r="C28" s="21" t="s">
        <v>191</v>
      </c>
      <c r="D28" s="23" t="s">
        <v>47</v>
      </c>
      <c r="E28" s="23" t="s">
        <v>48</v>
      </c>
      <c r="F28" s="23" t="s">
        <v>49</v>
      </c>
    </row>
    <row r="29" spans="1:10" ht="36">
      <c r="A29" s="27">
        <f>HYPERLINK("http://www.westlaw.com/Find/Default.wl?rs=dfa1.0&amp;vr=2.0&amp;DB=506&amp;FindType=Y&amp;SerialNum=2001419790",24)</f>
        <v>24</v>
      </c>
      <c r="B29" s="21" t="s">
        <v>192</v>
      </c>
      <c r="C29" s="21" t="s">
        <v>193</v>
      </c>
      <c r="D29" s="23" t="s">
        <v>47</v>
      </c>
      <c r="E29" s="23" t="s">
        <v>48</v>
      </c>
      <c r="F29" s="23" t="s">
        <v>49</v>
      </c>
    </row>
    <row r="30" spans="1:10" ht="48">
      <c r="A30" s="27">
        <f>HYPERLINK("http://www.westlaw.com/Find/Default.wl?rs=dfa1.0&amp;vr=2.0&amp;DB=506&amp;FindType=Y&amp;SerialNum=2001288540",30)</f>
        <v>30</v>
      </c>
      <c r="B30" s="21" t="s">
        <v>194</v>
      </c>
      <c r="C30" s="21" t="s">
        <v>195</v>
      </c>
      <c r="D30" s="23" t="s">
        <v>47</v>
      </c>
      <c r="E30" s="23" t="s">
        <v>48</v>
      </c>
      <c r="F30" s="23" t="s">
        <v>49</v>
      </c>
    </row>
    <row r="31" spans="1:10" ht="118.5" customHeight="1">
      <c r="A31" s="27">
        <f>HYPERLINK("http://www.westlaw.com/Find/Default.wl?rs=dfa1.0&amp;vr=2.0&amp;DB=506&amp;FindType=Y&amp;SerialNum=2001276364",31)</f>
        <v>31</v>
      </c>
      <c r="B31" s="21" t="s">
        <v>196</v>
      </c>
      <c r="C31" s="21" t="s">
        <v>197</v>
      </c>
      <c r="D31" s="23" t="s">
        <v>47</v>
      </c>
      <c r="E31" s="23" t="s">
        <v>48</v>
      </c>
      <c r="F31" s="23" t="s">
        <v>49</v>
      </c>
    </row>
    <row r="32" spans="1:10" ht="60">
      <c r="A32" s="27">
        <f>HYPERLINK("http://www.westlaw.com/Find/Default.wl?rs=dfa1.0&amp;vr=2.0&amp;DB=506&amp;FindType=Y&amp;SerialNum=2001143267",41)</f>
        <v>41</v>
      </c>
      <c r="B32" s="21" t="s">
        <v>198</v>
      </c>
      <c r="C32" s="21" t="s">
        <v>199</v>
      </c>
      <c r="D32" s="23" t="s">
        <v>47</v>
      </c>
      <c r="E32" s="23" t="s">
        <v>48</v>
      </c>
      <c r="F32" s="23" t="s">
        <v>49</v>
      </c>
    </row>
    <row r="33" spans="1:9" ht="60">
      <c r="A33" s="27">
        <f>HYPERLINK("http://www.westlaw.com/Find/Default.wl?rs=dfa1.0&amp;vr=2.0&amp;DB=506&amp;FindType=Y&amp;SerialNum=2001078159",49)</f>
        <v>49</v>
      </c>
      <c r="B33" s="21" t="s">
        <v>200</v>
      </c>
      <c r="C33" s="21" t="s">
        <v>201</v>
      </c>
      <c r="D33" s="23" t="s">
        <v>47</v>
      </c>
      <c r="E33" s="23" t="s">
        <v>48</v>
      </c>
      <c r="F33" s="23" t="s">
        <v>49</v>
      </c>
    </row>
    <row r="34" spans="1:9" ht="48">
      <c r="A34" s="27">
        <f>HYPERLINK("http://www.westlaw.com/Find/Default.wl?rs=dfa1.0&amp;vr=2.0&amp;DB=506&amp;FindType=Y&amp;SerialNum=2000555112",61)</f>
        <v>61</v>
      </c>
      <c r="B34" s="21" t="s">
        <v>202</v>
      </c>
      <c r="C34" s="21" t="s">
        <v>203</v>
      </c>
      <c r="D34" s="23" t="s">
        <v>47</v>
      </c>
      <c r="E34" s="23" t="s">
        <v>48</v>
      </c>
      <c r="F34" s="23" t="s">
        <v>49</v>
      </c>
    </row>
    <row r="35" spans="1:9">
      <c r="A35" s="27"/>
      <c r="B35" s="21"/>
      <c r="C35" s="24" t="s">
        <v>81</v>
      </c>
      <c r="D35" s="19">
        <f>COUNTA(D20:D34)</f>
        <v>15</v>
      </c>
      <c r="E35" s="23"/>
      <c r="F35" s="23"/>
    </row>
    <row r="36" spans="1:9">
      <c r="A36" s="27"/>
      <c r="B36" s="21"/>
      <c r="C36" s="21"/>
      <c r="D36" s="23"/>
      <c r="E36" s="23"/>
      <c r="F36" s="23"/>
    </row>
    <row r="37" spans="1:9" ht="60">
      <c r="A37" s="27">
        <f>HYPERLINK("http://www.westlaw.com/Find/Default.wl?rs=dfa1.0&amp;vr=2.0&amp;DB=506&amp;FindType=Y&amp;SerialNum=2001583047",13)</f>
        <v>13</v>
      </c>
      <c r="B37" s="21" t="s">
        <v>204</v>
      </c>
      <c r="C37" s="21" t="s">
        <v>205</v>
      </c>
      <c r="D37" s="23" t="s">
        <v>47</v>
      </c>
      <c r="F37" s="23" t="s">
        <v>49</v>
      </c>
    </row>
    <row r="38" spans="1:9" ht="48">
      <c r="A38" s="27">
        <f>HYPERLINK("http://www.westlaw.com/Find/Default.wl?rs=dfa1.0&amp;vr=2.0&amp;DB=506&amp;FindType=Y&amp;SerialNum=2001144043",40)</f>
        <v>40</v>
      </c>
      <c r="B38" s="21" t="s">
        <v>206</v>
      </c>
      <c r="C38" s="21" t="s">
        <v>207</v>
      </c>
      <c r="D38" s="23" t="s">
        <v>47</v>
      </c>
      <c r="F38" s="23" t="s">
        <v>49</v>
      </c>
    </row>
    <row r="39" spans="1:9" ht="60">
      <c r="A39" s="27">
        <f>HYPERLINK("http://www.westlaw.com/Find/Default.wl?rs=dfa1.0&amp;vr=2.0&amp;DB=506&amp;FindType=Y&amp;SerialNum=2001079621",50)</f>
        <v>50</v>
      </c>
      <c r="B39" s="21" t="s">
        <v>208</v>
      </c>
      <c r="C39" s="21" t="s">
        <v>209</v>
      </c>
      <c r="D39" s="23" t="s">
        <v>47</v>
      </c>
      <c r="F39" s="23" t="s">
        <v>49</v>
      </c>
    </row>
    <row r="40" spans="1:9" ht="48">
      <c r="A40" s="27">
        <f>HYPERLINK("http://www.westlaw.com/Find/Default.wl?rs=dfa1.0&amp;vr=2.0&amp;DB=506&amp;FindType=Y&amp;SerialNum=2001051707",53)</f>
        <v>53</v>
      </c>
      <c r="B40" s="21" t="s">
        <v>210</v>
      </c>
      <c r="C40" s="21" t="s">
        <v>211</v>
      </c>
      <c r="D40" s="23" t="s">
        <v>47</v>
      </c>
      <c r="F40" s="23" t="s">
        <v>49</v>
      </c>
    </row>
    <row r="41" spans="1:9">
      <c r="A41" s="27"/>
      <c r="B41" s="21"/>
      <c r="C41" s="24" t="s">
        <v>88</v>
      </c>
      <c r="D41" s="19">
        <f>COUNTA(D37:D40)+D35</f>
        <v>19</v>
      </c>
      <c r="E41" s="23"/>
      <c r="F41" s="23"/>
    </row>
    <row r="42" spans="1:9">
      <c r="A42" s="27"/>
      <c r="B42" s="21"/>
      <c r="C42" s="21"/>
      <c r="D42" s="23"/>
      <c r="E42" s="23"/>
      <c r="F42" s="23"/>
    </row>
    <row r="43" spans="1:9" ht="84">
      <c r="A43" s="27">
        <f>HYPERLINK("http://www.westlaw.com/Find/Default.wl?rs=dfa1.0&amp;vr=2.0&amp;DB=506&amp;FindType=Y&amp;SerialNum=2001671596",8)</f>
        <v>8</v>
      </c>
      <c r="B43" s="21" t="s">
        <v>212</v>
      </c>
      <c r="C43" s="21" t="s">
        <v>213</v>
      </c>
      <c r="D43" s="23" t="s">
        <v>79</v>
      </c>
      <c r="F43" s="23" t="s">
        <v>49</v>
      </c>
    </row>
    <row r="44" spans="1:9" ht="72">
      <c r="A44" s="27">
        <f>HYPERLINK("http://www.westlaw.com/Find/Default.wl?rs=dfa1.0&amp;vr=2.0&amp;DB=506&amp;FindType=Y&amp;SerialNum=2000555110",60)</f>
        <v>60</v>
      </c>
      <c r="B44" s="21" t="s">
        <v>214</v>
      </c>
      <c r="C44" s="21" t="s">
        <v>215</v>
      </c>
      <c r="D44" s="23" t="s">
        <v>79</v>
      </c>
      <c r="F44" s="23" t="s">
        <v>49</v>
      </c>
    </row>
    <row r="45" spans="1:9" ht="72">
      <c r="A45" s="27">
        <f>HYPERLINK("http://www.westlaw.com/Find/Default.wl?rs=dfa1.0&amp;vr=2.0&amp;DB=506&amp;FindType=Y&amp;SerialNum=2001535034",18)</f>
        <v>18</v>
      </c>
      <c r="B45" s="21" t="s">
        <v>216</v>
      </c>
      <c r="C45" s="21" t="s">
        <v>217</v>
      </c>
      <c r="D45" s="23" t="s">
        <v>79</v>
      </c>
      <c r="F45" s="23" t="s">
        <v>78</v>
      </c>
      <c r="G45" s="23" t="s">
        <v>167</v>
      </c>
      <c r="H45" s="23" t="s">
        <v>100</v>
      </c>
      <c r="I45" s="23" t="s">
        <v>49</v>
      </c>
    </row>
    <row r="46" spans="1:9">
      <c r="A46" s="27"/>
      <c r="B46" s="21"/>
      <c r="C46" s="24" t="s">
        <v>95</v>
      </c>
      <c r="D46" s="19">
        <f>COUNTA(D43:D45)</f>
        <v>3</v>
      </c>
      <c r="F46" s="23"/>
      <c r="G46" s="23"/>
      <c r="H46" s="23"/>
      <c r="I46" s="23"/>
    </row>
    <row r="47" spans="1:9">
      <c r="A47" s="27"/>
      <c r="B47" s="21"/>
      <c r="C47" s="21"/>
      <c r="D47" s="23"/>
      <c r="F47" s="23"/>
      <c r="G47" s="23"/>
      <c r="H47" s="23"/>
      <c r="I47" s="23"/>
    </row>
    <row r="48" spans="1:9" ht="36">
      <c r="A48" s="27">
        <f>HYPERLINK("http://www.westlaw.com/Find/Default.wl?rs=dfa1.0&amp;vr=2.0&amp;DB=506&amp;FindType=Y&amp;SerialNum=2001555540",16)</f>
        <v>16</v>
      </c>
      <c r="B48" s="21" t="s">
        <v>218</v>
      </c>
      <c r="C48" s="21" t="s">
        <v>219</v>
      </c>
      <c r="D48" s="23" t="s">
        <v>100</v>
      </c>
      <c r="F48" s="23" t="s">
        <v>49</v>
      </c>
    </row>
    <row r="49" spans="1:6">
      <c r="A49" s="27"/>
      <c r="B49" s="21"/>
      <c r="C49" s="24" t="s">
        <v>95</v>
      </c>
      <c r="D49" s="19">
        <f>COUNTA(D48)</f>
        <v>1</v>
      </c>
      <c r="E49" s="23"/>
      <c r="F49" s="23"/>
    </row>
    <row r="50" spans="1:6">
      <c r="A50" s="27"/>
      <c r="B50" s="21"/>
      <c r="C50" s="21"/>
      <c r="D50" s="23"/>
      <c r="E50" s="23"/>
      <c r="F50" s="23"/>
    </row>
    <row r="51" spans="1:6" ht="60">
      <c r="A51" s="27">
        <f>HYPERLINK("http://www.westlaw.com/Find/Default.wl?rs=dfa1.0&amp;vr=2.0&amp;DB=506&amp;FindType=Y&amp;SerialNum=2001687788",6)</f>
        <v>6</v>
      </c>
      <c r="B51" s="21" t="s">
        <v>220</v>
      </c>
      <c r="C51" s="21" t="s">
        <v>221</v>
      </c>
      <c r="D51" s="23" t="s">
        <v>111</v>
      </c>
      <c r="F51" s="23" t="s">
        <v>49</v>
      </c>
    </row>
    <row r="52" spans="1:6" ht="48">
      <c r="A52" s="27">
        <f>HYPERLINK("http://www.westlaw.com/Find/Default.wl?rs=dfa1.0&amp;vr=2.0&amp;DB=506&amp;FindType=Y&amp;SerialNum=2001680410",7)</f>
        <v>7</v>
      </c>
      <c r="B52" s="21" t="s">
        <v>222</v>
      </c>
      <c r="C52" s="21" t="s">
        <v>223</v>
      </c>
      <c r="D52" s="23" t="s">
        <v>111</v>
      </c>
      <c r="F52" s="23" t="s">
        <v>49</v>
      </c>
    </row>
    <row r="53" spans="1:6" ht="36">
      <c r="A53" s="27">
        <f>HYPERLINK("http://www.westlaw.com/Find/Default.wl?rs=dfa1.0&amp;vr=2.0&amp;DB=506&amp;FindType=Y&amp;SerialNum=2001454658",21)</f>
        <v>21</v>
      </c>
      <c r="B53" s="21" t="s">
        <v>224</v>
      </c>
      <c r="C53" s="21" t="s">
        <v>225</v>
      </c>
      <c r="D53" s="23" t="s">
        <v>111</v>
      </c>
      <c r="F53" s="23" t="s">
        <v>49</v>
      </c>
    </row>
    <row r="54" spans="1:6" ht="36">
      <c r="A54" s="27">
        <f>HYPERLINK("http://www.westlaw.com/Find/Default.wl?rs=dfa1.0&amp;vr=2.0&amp;DB=506&amp;FindType=Y&amp;SerialNum=2001425628",22)</f>
        <v>22</v>
      </c>
      <c r="B54" s="21" t="s">
        <v>226</v>
      </c>
      <c r="C54" s="21" t="s">
        <v>227</v>
      </c>
      <c r="D54" s="23" t="s">
        <v>111</v>
      </c>
      <c r="F54" s="23" t="s">
        <v>49</v>
      </c>
    </row>
    <row r="55" spans="1:6" ht="48">
      <c r="A55" s="27">
        <f>HYPERLINK("http://www.westlaw.com/Find/Default.wl?rs=dfa1.0&amp;vr=2.0&amp;DB=506&amp;FindType=Y&amp;SerialNum=2001419792",25)</f>
        <v>25</v>
      </c>
      <c r="B55" s="21" t="s">
        <v>228</v>
      </c>
      <c r="C55" s="21" t="s">
        <v>229</v>
      </c>
      <c r="D55" s="23" t="s">
        <v>111</v>
      </c>
      <c r="F55" s="23" t="s">
        <v>49</v>
      </c>
    </row>
    <row r="56" spans="1:6" ht="60">
      <c r="A56" s="27">
        <f>HYPERLINK("http://www.westlaw.com/Find/Default.wl?rs=dfa1.0&amp;vr=2.0&amp;DB=506&amp;FindType=Y&amp;SerialNum=2001392132",26)</f>
        <v>26</v>
      </c>
      <c r="B56" s="21" t="s">
        <v>230</v>
      </c>
      <c r="C56" s="21" t="s">
        <v>231</v>
      </c>
      <c r="D56" s="23" t="s">
        <v>111</v>
      </c>
      <c r="F56" s="23" t="s">
        <v>49</v>
      </c>
    </row>
    <row r="57" spans="1:6" ht="60">
      <c r="A57" s="27">
        <f>HYPERLINK("http://www.westlaw.com/Find/Default.wl?rs=dfa1.0&amp;vr=2.0&amp;DB=506&amp;FindType=Y&amp;SerialNum=2001341067",27)</f>
        <v>27</v>
      </c>
      <c r="B57" s="21" t="s">
        <v>232</v>
      </c>
      <c r="C57" s="21" t="s">
        <v>233</v>
      </c>
      <c r="D57" s="23" t="s">
        <v>111</v>
      </c>
      <c r="F57" s="23" t="s">
        <v>49</v>
      </c>
    </row>
    <row r="58" spans="1:6" ht="48">
      <c r="A58" s="27">
        <f>HYPERLINK("http://www.westlaw.com/Find/Default.wl?rs=dfa1.0&amp;vr=2.0&amp;DB=506&amp;FindType=Y&amp;SerialNum=2001326420",28)</f>
        <v>28</v>
      </c>
      <c r="B58" s="21" t="s">
        <v>234</v>
      </c>
      <c r="C58" s="21" t="s">
        <v>235</v>
      </c>
      <c r="D58" s="23" t="s">
        <v>111</v>
      </c>
      <c r="F58" s="23" t="s">
        <v>49</v>
      </c>
    </row>
    <row r="59" spans="1:6" ht="72">
      <c r="A59" s="27">
        <f>HYPERLINK("http://www.westlaw.com/Find/Default.wl?rs=dfa1.0&amp;vr=2.0&amp;DB=506&amp;FindType=Y&amp;SerialNum=2001305258",29)</f>
        <v>29</v>
      </c>
      <c r="B59" s="21" t="s">
        <v>236</v>
      </c>
      <c r="C59" s="21" t="s">
        <v>237</v>
      </c>
      <c r="D59" s="23" t="s">
        <v>111</v>
      </c>
      <c r="F59" s="23" t="s">
        <v>49</v>
      </c>
    </row>
    <row r="60" spans="1:6" ht="48">
      <c r="A60" s="27">
        <f>HYPERLINK("http://www.westlaw.com/Find/Default.wl?rs=dfa1.0&amp;vr=2.0&amp;DB=506&amp;FindType=Y&amp;SerialNum=2001271908",32)</f>
        <v>32</v>
      </c>
      <c r="B60" s="21" t="s">
        <v>238</v>
      </c>
      <c r="C60" s="21" t="s">
        <v>239</v>
      </c>
      <c r="D60" s="23" t="s">
        <v>111</v>
      </c>
      <c r="F60" s="23" t="s">
        <v>49</v>
      </c>
    </row>
    <row r="61" spans="1:6" ht="60">
      <c r="A61" s="27">
        <f>HYPERLINK("http://www.westlaw.com/Find/Default.wl?rs=dfa1.0&amp;vr=2.0&amp;DB=506&amp;FindType=Y&amp;SerialNum=2001192262",34)</f>
        <v>34</v>
      </c>
      <c r="B61" s="21" t="s">
        <v>240</v>
      </c>
      <c r="C61" s="21" t="s">
        <v>241</v>
      </c>
      <c r="D61" s="23" t="s">
        <v>111</v>
      </c>
      <c r="F61" s="23" t="s">
        <v>49</v>
      </c>
    </row>
    <row r="62" spans="1:6" ht="72">
      <c r="A62" s="27">
        <f>HYPERLINK("http://www.westlaw.com/Find/Default.wl?rs=dfa1.0&amp;vr=2.0&amp;DB=506&amp;FindType=Y&amp;SerialNum=2001174576",36)</f>
        <v>36</v>
      </c>
      <c r="B62" s="21" t="s">
        <v>242</v>
      </c>
      <c r="C62" s="21" t="s">
        <v>243</v>
      </c>
      <c r="D62" s="23" t="s">
        <v>111</v>
      </c>
      <c r="F62" s="23" t="s">
        <v>49</v>
      </c>
    </row>
    <row r="63" spans="1:6" ht="60">
      <c r="A63" s="27">
        <f>HYPERLINK("http://www.westlaw.com/Find/Default.wl?rs=dfa1.0&amp;vr=2.0&amp;DB=506&amp;FindType=Y&amp;SerialNum=2001189153",37)</f>
        <v>37</v>
      </c>
      <c r="B63" s="21" t="s">
        <v>244</v>
      </c>
      <c r="C63" s="21" t="s">
        <v>245</v>
      </c>
      <c r="D63" s="23" t="s">
        <v>111</v>
      </c>
      <c r="F63" s="23" t="s">
        <v>49</v>
      </c>
    </row>
    <row r="64" spans="1:6" ht="48">
      <c r="A64" s="27">
        <f>HYPERLINK("http://www.westlaw.com/Find/Default.wl?rs=dfa1.0&amp;vr=2.0&amp;DB=506&amp;FindType=Y&amp;SerialNum=2001175854",38)</f>
        <v>38</v>
      </c>
      <c r="B64" s="21" t="s">
        <v>246</v>
      </c>
      <c r="C64" s="21" t="s">
        <v>247</v>
      </c>
      <c r="D64" s="23" t="s">
        <v>111</v>
      </c>
      <c r="F64" s="23" t="s">
        <v>49</v>
      </c>
    </row>
    <row r="65" spans="1:10" ht="60">
      <c r="A65" s="27">
        <f>HYPERLINK("http://www.westlaw.com/Find/Default.wl?rs=dfa1.0&amp;vr=2.0&amp;DB=506&amp;FindType=Y&amp;SerialNum=2001175857",39)</f>
        <v>39</v>
      </c>
      <c r="B65" s="21" t="s">
        <v>248</v>
      </c>
      <c r="C65" s="21" t="s">
        <v>249</v>
      </c>
      <c r="D65" s="23" t="s">
        <v>111</v>
      </c>
      <c r="F65" s="23" t="s">
        <v>49</v>
      </c>
    </row>
    <row r="66" spans="1:10" ht="60">
      <c r="A66" s="27">
        <f>HYPERLINK("http://www.westlaw.com/Find/Default.wl?rs=dfa1.0&amp;vr=2.0&amp;DB=506&amp;FindType=Y&amp;SerialNum=2001130921",42)</f>
        <v>42</v>
      </c>
      <c r="B66" s="21" t="s">
        <v>250</v>
      </c>
      <c r="C66" s="21" t="s">
        <v>251</v>
      </c>
      <c r="D66" s="23" t="s">
        <v>111</v>
      </c>
      <c r="F66" s="23" t="s">
        <v>49</v>
      </c>
    </row>
    <row r="67" spans="1:10" ht="48">
      <c r="A67" s="27">
        <f>HYPERLINK("http://www.westlaw.com/Find/Default.wl?rs=dfa1.0&amp;vr=2.0&amp;DB=506&amp;FindType=Y&amp;SerialNum=2001114021",43)</f>
        <v>43</v>
      </c>
      <c r="B67" s="21" t="s">
        <v>252</v>
      </c>
      <c r="C67" s="21" t="s">
        <v>253</v>
      </c>
      <c r="D67" s="23" t="s">
        <v>111</v>
      </c>
      <c r="F67" s="23" t="s">
        <v>49</v>
      </c>
    </row>
    <row r="68" spans="1:10" ht="84">
      <c r="A68" s="27">
        <f>HYPERLINK("http://www.westlaw.com/Find/Default.wl?rs=dfa1.0&amp;vr=2.0&amp;DB=506&amp;FindType=Y&amp;SerialNum=2001112936",44)</f>
        <v>44</v>
      </c>
      <c r="B68" s="21" t="s">
        <v>254</v>
      </c>
      <c r="C68" s="21" t="s">
        <v>255</v>
      </c>
      <c r="D68" s="23" t="s">
        <v>111</v>
      </c>
      <c r="F68" s="23" t="s">
        <v>49</v>
      </c>
    </row>
    <row r="69" spans="1:10" ht="48">
      <c r="A69" s="27">
        <f>HYPERLINK("http://www.westlaw.com/Find/Default.wl?rs=dfa1.0&amp;vr=2.0&amp;DB=506&amp;FindType=Y&amp;SerialNum=2001107710",45)</f>
        <v>45</v>
      </c>
      <c r="B69" s="21" t="s">
        <v>256</v>
      </c>
      <c r="C69" s="21" t="s">
        <v>257</v>
      </c>
      <c r="D69" s="23" t="s">
        <v>111</v>
      </c>
      <c r="F69" s="23" t="s">
        <v>49</v>
      </c>
    </row>
    <row r="70" spans="1:10" ht="48">
      <c r="A70" s="27">
        <f>HYPERLINK("http://www.westlaw.com/Find/Default.wl?rs=dfa1.0&amp;vr=2.0&amp;DB=506&amp;FindType=Y&amp;SerialNum=2001092464",46)</f>
        <v>46</v>
      </c>
      <c r="B70" s="21" t="s">
        <v>258</v>
      </c>
      <c r="C70" s="21" t="s">
        <v>259</v>
      </c>
      <c r="D70" s="23" t="s">
        <v>111</v>
      </c>
      <c r="F70" s="23" t="s">
        <v>49</v>
      </c>
    </row>
    <row r="71" spans="1:10" ht="48">
      <c r="A71" s="27">
        <f>HYPERLINK("http://www.westlaw.com/Find/Default.wl?rs=dfa1.0&amp;vr=2.0&amp;DB=506&amp;FindType=Y&amp;SerialNum=2001090980",48)</f>
        <v>48</v>
      </c>
      <c r="B71" s="21" t="s">
        <v>260</v>
      </c>
      <c r="C71" s="21" t="s">
        <v>261</v>
      </c>
      <c r="D71" s="23" t="s">
        <v>111</v>
      </c>
      <c r="F71" s="23" t="s">
        <v>49</v>
      </c>
    </row>
    <row r="72" spans="1:10" ht="48">
      <c r="A72" s="27">
        <f>HYPERLINK("http://www.westlaw.com/Find/Default.wl?rs=dfa1.0&amp;vr=2.0&amp;DB=506&amp;FindType=Y&amp;SerialNum=2001060866",52)</f>
        <v>52</v>
      </c>
      <c r="B72" s="21" t="s">
        <v>262</v>
      </c>
      <c r="C72" s="21" t="s">
        <v>263</v>
      </c>
      <c r="D72" s="23" t="s">
        <v>111</v>
      </c>
      <c r="F72" s="23" t="s">
        <v>49</v>
      </c>
    </row>
    <row r="73" spans="1:10" ht="60">
      <c r="A73" s="27">
        <f>HYPERLINK("http://www.westlaw.com/Find/Default.wl?rs=dfa1.0&amp;vr=2.0&amp;DB=506&amp;FindType=Y&amp;SerialNum=2000657340",54)</f>
        <v>54</v>
      </c>
      <c r="B73" s="21" t="s">
        <v>264</v>
      </c>
      <c r="C73" s="21" t="s">
        <v>265</v>
      </c>
      <c r="D73" s="23" t="s">
        <v>111</v>
      </c>
      <c r="F73" s="23" t="s">
        <v>49</v>
      </c>
    </row>
    <row r="74" spans="1:10" ht="72">
      <c r="A74" s="27">
        <f>HYPERLINK("http://www.westlaw.com/Find/Default.wl?rs=dfa1.0&amp;vr=2.0&amp;DB=506&amp;FindType=Y&amp;SerialNum=2000641072",55)</f>
        <v>55</v>
      </c>
      <c r="B74" s="21" t="s">
        <v>266</v>
      </c>
      <c r="C74" s="21" t="s">
        <v>267</v>
      </c>
      <c r="D74" s="23" t="s">
        <v>111</v>
      </c>
      <c r="F74" s="23" t="s">
        <v>49</v>
      </c>
    </row>
    <row r="75" spans="1:10" ht="48">
      <c r="A75" s="27">
        <f>HYPERLINK("http://www.westlaw.com/Find/Default.wl?rs=dfa1.0&amp;vr=2.0&amp;DB=506&amp;FindType=Y&amp;SerialNum=2000627889",56)</f>
        <v>56</v>
      </c>
      <c r="B75" s="21" t="s">
        <v>268</v>
      </c>
      <c r="C75" s="21" t="s">
        <v>269</v>
      </c>
      <c r="D75" s="23" t="s">
        <v>111</v>
      </c>
      <c r="F75" s="23" t="s">
        <v>49</v>
      </c>
    </row>
    <row r="76" spans="1:10" ht="48">
      <c r="A76" s="27">
        <f>HYPERLINK("http://www.westlaw.com/Find/Default.wl?rs=dfa1.0&amp;vr=2.0&amp;DB=506&amp;FindType=Y&amp;SerialNum=2000580949",57)</f>
        <v>57</v>
      </c>
      <c r="B76" s="21" t="s">
        <v>270</v>
      </c>
      <c r="C76" s="21" t="s">
        <v>271</v>
      </c>
      <c r="D76" s="23" t="s">
        <v>111</v>
      </c>
      <c r="F76" s="23" t="s">
        <v>49</v>
      </c>
    </row>
    <row r="77" spans="1:10" ht="48">
      <c r="A77" s="27">
        <f>HYPERLINK("http://www.westlaw.com/Find/Default.wl?rs=dfa1.0&amp;vr=2.0&amp;DB=506&amp;FindType=Y&amp;SerialNum=2000578946",58)</f>
        <v>58</v>
      </c>
      <c r="B77" s="21" t="s">
        <v>238</v>
      </c>
      <c r="C77" s="21" t="s">
        <v>272</v>
      </c>
      <c r="D77" s="23" t="s">
        <v>111</v>
      </c>
      <c r="F77" s="23" t="s">
        <v>49</v>
      </c>
    </row>
    <row r="78" spans="1:10" ht="60">
      <c r="A78" s="27">
        <f>HYPERLINK("http://www.westlaw.com/Find/Default.wl?rs=dfa1.0&amp;vr=2.0&amp;DB=506&amp;FindType=Y&amp;SerialNum=2000571709",59)</f>
        <v>59</v>
      </c>
      <c r="B78" s="21" t="s">
        <v>273</v>
      </c>
      <c r="C78" s="21" t="s">
        <v>274</v>
      </c>
      <c r="D78" s="23" t="s">
        <v>111</v>
      </c>
      <c r="F78" s="23" t="s">
        <v>49</v>
      </c>
    </row>
    <row r="79" spans="1:10" ht="36">
      <c r="A79" s="27">
        <f>HYPERLINK("http://www.westlaw.com/Find/Default.wl?rs=dfa1.0&amp;vr=2.0&amp;DB=506&amp;FindType=Y&amp;SerialNum=2001573276",14)</f>
        <v>14</v>
      </c>
      <c r="B79" s="21" t="s">
        <v>275</v>
      </c>
      <c r="C79" s="21" t="s">
        <v>276</v>
      </c>
      <c r="D79" s="28" t="s">
        <v>111</v>
      </c>
      <c r="E79" s="23"/>
      <c r="F79" s="23" t="s">
        <v>49</v>
      </c>
      <c r="G79" s="23"/>
      <c r="H79" s="23"/>
      <c r="I79" s="23"/>
      <c r="J79" s="23"/>
    </row>
    <row r="80" spans="1:10">
      <c r="A80" s="27"/>
      <c r="B80" s="21"/>
      <c r="C80" s="24" t="s">
        <v>95</v>
      </c>
      <c r="D80" s="19">
        <f>COUNTA(D51:D79)</f>
        <v>29</v>
      </c>
      <c r="E80" s="23"/>
      <c r="F80" s="23"/>
      <c r="G80" s="23"/>
      <c r="H80" s="23"/>
      <c r="I80" s="23"/>
      <c r="J80" s="23"/>
    </row>
    <row r="81" spans="1:10">
      <c r="A81" s="27"/>
      <c r="B81" s="21"/>
      <c r="C81" s="21"/>
      <c r="D81" s="28"/>
      <c r="E81" s="23"/>
      <c r="F81" s="23"/>
      <c r="G81" s="23"/>
      <c r="H81" s="23"/>
      <c r="I81" s="23"/>
      <c r="J81" s="23"/>
    </row>
    <row r="82" spans="1:10" ht="57" customHeight="1">
      <c r="A82" s="27">
        <f>HYPERLINK("http://www.westlaw.com/Find/Default.wl?rs=dfa1.0&amp;vr=2.0&amp;FindType=Y&amp;SerialNum=2001722815",19)</f>
        <v>19</v>
      </c>
      <c r="B82" s="21" t="s">
        <v>277</v>
      </c>
      <c r="C82" s="21" t="s">
        <v>278</v>
      </c>
      <c r="D82" s="23" t="s">
        <v>279</v>
      </c>
      <c r="F82" s="23" t="s">
        <v>49</v>
      </c>
    </row>
    <row r="83" spans="1:10">
      <c r="A83" s="27"/>
      <c r="B83" s="21"/>
      <c r="C83" s="24" t="s">
        <v>95</v>
      </c>
      <c r="D83" s="19">
        <f>COUNTA(D82)</f>
        <v>1</v>
      </c>
      <c r="F83" s="23"/>
    </row>
    <row r="84" spans="1:10">
      <c r="A84" s="27"/>
      <c r="B84" s="21"/>
      <c r="C84" s="21"/>
      <c r="D84" s="23"/>
      <c r="F84" s="23"/>
      <c r="G84" s="23"/>
      <c r="H84" s="23"/>
      <c r="I84" s="23"/>
    </row>
    <row r="85" spans="1:10">
      <c r="A85" s="27"/>
      <c r="B85" s="29" t="s">
        <v>165</v>
      </c>
      <c r="C85" s="21"/>
      <c r="D85" s="23"/>
      <c r="F85" s="23"/>
      <c r="G85" s="23"/>
      <c r="H85" s="23"/>
      <c r="I85" s="23"/>
    </row>
    <row r="86" spans="1:10" ht="72">
      <c r="A86" s="27">
        <f>HYPERLINK("http://www.westlaw.com/Find/Default.wl?rs=dfa1.0&amp;vr=2.0&amp;DB=506&amp;FindType=Y&amp;SerialNum=2001535034",18)</f>
        <v>18</v>
      </c>
      <c r="B86" s="21" t="s">
        <v>216</v>
      </c>
      <c r="C86" s="21" t="s">
        <v>217</v>
      </c>
      <c r="D86" s="23" t="s">
        <v>79</v>
      </c>
      <c r="F86" s="23" t="s">
        <v>78</v>
      </c>
      <c r="G86" s="23" t="s">
        <v>167</v>
      </c>
      <c r="H86" s="23" t="s">
        <v>100</v>
      </c>
      <c r="I86" s="23" t="s">
        <v>49</v>
      </c>
    </row>
    <row r="87" spans="1:10" ht="108">
      <c r="A87" s="27">
        <f>HYPERLINK("http://www.westlaw.com/Find/Default.wl?rs=dfa1.0&amp;vr=2.0&amp;DB=506&amp;FindType=Y&amp;SerialNum=2001423820",23)</f>
        <v>23</v>
      </c>
      <c r="B87" s="21" t="s">
        <v>280</v>
      </c>
      <c r="C87" s="21" t="s">
        <v>281</v>
      </c>
      <c r="F87" s="23" t="s">
        <v>78</v>
      </c>
      <c r="G87" s="23" t="s">
        <v>79</v>
      </c>
      <c r="H87" s="23" t="s">
        <v>80</v>
      </c>
      <c r="I87" s="23" t="s">
        <v>49</v>
      </c>
    </row>
    <row r="88" spans="1:10" ht="60">
      <c r="A88" s="27">
        <f>HYPERLINK("http://www.westlaw.com/Find/Default.wl?rs=dfa1.0&amp;vr=2.0&amp;DB=506&amp;FindType=Y&amp;SerialNum=2001090988",47)</f>
        <v>47</v>
      </c>
      <c r="B88" s="21" t="s">
        <v>282</v>
      </c>
      <c r="C88" s="21" t="s">
        <v>283</v>
      </c>
      <c r="F88" s="23" t="s">
        <v>78</v>
      </c>
      <c r="G88" s="23" t="s">
        <v>79</v>
      </c>
      <c r="H88" s="23" t="s">
        <v>100</v>
      </c>
      <c r="I88" s="23" t="s">
        <v>49</v>
      </c>
    </row>
    <row r="89" spans="1:10" ht="84">
      <c r="A89" s="27">
        <f>HYPERLINK("http://www.westlaw.com/Find/Default.wl?rs=dfa1.0&amp;vr=2.0&amp;DB=506&amp;FindType=Y&amp;SerialNum=2001064217",51)</f>
        <v>51</v>
      </c>
      <c r="B89" s="21" t="s">
        <v>284</v>
      </c>
      <c r="C89" s="21" t="s">
        <v>285</v>
      </c>
      <c r="F89" s="23" t="s">
        <v>78</v>
      </c>
      <c r="G89" s="23" t="s">
        <v>79</v>
      </c>
      <c r="H89" s="23" t="s">
        <v>80</v>
      </c>
      <c r="I89" s="23" t="s">
        <v>49</v>
      </c>
    </row>
    <row r="90" spans="1:10" ht="48">
      <c r="A90" s="27">
        <f>HYPERLINK("http://www.westlaw.com/Find/Default.wl?rs=dfa1.0&amp;vr=2.0&amp;DB=164&amp;FindType=Y&amp;SerialNum=2002267972",62)</f>
        <v>62</v>
      </c>
      <c r="B90" s="21" t="s">
        <v>286</v>
      </c>
      <c r="C90" s="21" t="s">
        <v>287</v>
      </c>
      <c r="F90" s="23" t="s">
        <v>78</v>
      </c>
      <c r="G90" s="23" t="s">
        <v>79</v>
      </c>
      <c r="H90" s="23" t="s">
        <v>100</v>
      </c>
      <c r="I90" s="23" t="s">
        <v>49</v>
      </c>
    </row>
    <row r="91" spans="1:10" ht="84">
      <c r="A91" s="27">
        <f>HYPERLINK("http://www.westlaw.com/Find/Default.wl?rs=dfa1.0&amp;vr=2.0&amp;DB=4637&amp;FindType=Y&amp;SerialNum=2001425638",63)</f>
        <v>63</v>
      </c>
      <c r="B91" s="21" t="s">
        <v>288</v>
      </c>
      <c r="C91" s="21" t="s">
        <v>289</v>
      </c>
      <c r="F91" s="23" t="s">
        <v>78</v>
      </c>
      <c r="G91" s="23" t="s">
        <v>79</v>
      </c>
      <c r="H91" s="23" t="s">
        <v>100</v>
      </c>
      <c r="I91" s="23" t="s">
        <v>49</v>
      </c>
    </row>
    <row r="92" spans="1:10" ht="96">
      <c r="A92" s="27">
        <f>HYPERLINK("http://www.westlaw.com/Find/Default.wl?rs=dfa1.0&amp;vr=2.0&amp;DB=884&amp;FindType=Y&amp;SerialNum=2001254331",64)</f>
        <v>64</v>
      </c>
      <c r="B92" s="21" t="s">
        <v>290</v>
      </c>
      <c r="C92" s="21" t="s">
        <v>291</v>
      </c>
      <c r="F92" s="23" t="s">
        <v>78</v>
      </c>
      <c r="G92" s="23" t="s">
        <v>79</v>
      </c>
      <c r="H92" s="23" t="s">
        <v>80</v>
      </c>
      <c r="I92" s="23" t="s">
        <v>49</v>
      </c>
    </row>
    <row r="93" spans="1:10" ht="60">
      <c r="A93" s="27">
        <f>HYPERLINK("http://www.westlaw.com/Find/Default.wl?rs=dfa1.0&amp;vr=2.0&amp;DB=164&amp;FindType=Y&amp;SerialNum=2001141899",65)</f>
        <v>65</v>
      </c>
      <c r="B93" s="21" t="s">
        <v>292</v>
      </c>
      <c r="C93" s="21" t="s">
        <v>293</v>
      </c>
      <c r="F93" s="23" t="s">
        <v>78</v>
      </c>
      <c r="G93" s="23" t="s">
        <v>79</v>
      </c>
      <c r="H93" s="23" t="s">
        <v>80</v>
      </c>
      <c r="I93" s="23" t="s">
        <v>49</v>
      </c>
    </row>
    <row r="94" spans="1:10" ht="15" customHeight="1">
      <c r="E94" s="26" t="s">
        <v>95</v>
      </c>
      <c r="F94" s="26">
        <f>COUNTA(F86:F93)</f>
        <v>8</v>
      </c>
    </row>
    <row r="95" spans="1:10" ht="15" customHeight="1"/>
    <row r="96" spans="1:1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9"/>
  <sheetViews>
    <sheetView zoomScale="85" zoomScaleNormal="85" zoomScalePageLayoutView="85" workbookViewId="0"/>
  </sheetViews>
  <sheetFormatPr baseColWidth="10" defaultColWidth="9.1640625" defaultRowHeight="14" x14ac:dyDescent="0"/>
  <cols>
    <col min="1" max="1" width="9.1640625" style="13" customWidth="1"/>
    <col min="2" max="2" width="24.83203125" style="13" customWidth="1"/>
    <col min="3" max="3" width="22.5" style="13" customWidth="1"/>
    <col min="4" max="4" width="10.5" style="13" customWidth="1"/>
    <col min="5" max="6" width="9.1640625" style="13" customWidth="1"/>
    <col min="7" max="7" width="16.6640625" style="13" customWidth="1"/>
    <col min="8" max="8" width="23.5" style="13" customWidth="1"/>
    <col min="9" max="9" width="21" style="13" customWidth="1"/>
    <col min="10" max="10" width="22" style="13" customWidth="1"/>
    <col min="11" max="256" width="9.1640625" style="13"/>
    <col min="257" max="257" width="9.1640625" style="13" customWidth="1"/>
    <col min="258" max="258" width="24.83203125" style="13" customWidth="1"/>
    <col min="259" max="259" width="22.5" style="13" customWidth="1"/>
    <col min="260" max="260" width="10.5" style="13" customWidth="1"/>
    <col min="261" max="262" width="9.1640625" style="13" customWidth="1"/>
    <col min="263" max="263" width="16.6640625" style="13" customWidth="1"/>
    <col min="264" max="264" width="23.5" style="13" customWidth="1"/>
    <col min="265" max="265" width="21" style="13" customWidth="1"/>
    <col min="266" max="266" width="22" style="13" customWidth="1"/>
    <col min="267" max="512" width="9.1640625" style="13"/>
    <col min="513" max="513" width="9.1640625" style="13" customWidth="1"/>
    <col min="514" max="514" width="24.83203125" style="13" customWidth="1"/>
    <col min="515" max="515" width="22.5" style="13" customWidth="1"/>
    <col min="516" max="516" width="10.5" style="13" customWidth="1"/>
    <col min="517" max="518" width="9.1640625" style="13" customWidth="1"/>
    <col min="519" max="519" width="16.6640625" style="13" customWidth="1"/>
    <col min="520" max="520" width="23.5" style="13" customWidth="1"/>
    <col min="521" max="521" width="21" style="13" customWidth="1"/>
    <col min="522" max="522" width="22" style="13" customWidth="1"/>
    <col min="523" max="768" width="9.1640625" style="13"/>
    <col min="769" max="769" width="9.1640625" style="13" customWidth="1"/>
    <col min="770" max="770" width="24.83203125" style="13" customWidth="1"/>
    <col min="771" max="771" width="22.5" style="13" customWidth="1"/>
    <col min="772" max="772" width="10.5" style="13" customWidth="1"/>
    <col min="773" max="774" width="9.1640625" style="13" customWidth="1"/>
    <col min="775" max="775" width="16.6640625" style="13" customWidth="1"/>
    <col min="776" max="776" width="23.5" style="13" customWidth="1"/>
    <col min="777" max="777" width="21" style="13" customWidth="1"/>
    <col min="778" max="778" width="22" style="13" customWidth="1"/>
    <col min="779" max="1024" width="9.1640625" style="13"/>
    <col min="1025" max="1025" width="9.1640625" style="13" customWidth="1"/>
    <col min="1026" max="1026" width="24.83203125" style="13" customWidth="1"/>
    <col min="1027" max="1027" width="22.5" style="13" customWidth="1"/>
    <col min="1028" max="1028" width="10.5" style="13" customWidth="1"/>
    <col min="1029" max="1030" width="9.1640625" style="13" customWidth="1"/>
    <col min="1031" max="1031" width="16.6640625" style="13" customWidth="1"/>
    <col min="1032" max="1032" width="23.5" style="13" customWidth="1"/>
    <col min="1033" max="1033" width="21" style="13" customWidth="1"/>
    <col min="1034" max="1034" width="22" style="13" customWidth="1"/>
    <col min="1035" max="1280" width="9.1640625" style="13"/>
    <col min="1281" max="1281" width="9.1640625" style="13" customWidth="1"/>
    <col min="1282" max="1282" width="24.83203125" style="13" customWidth="1"/>
    <col min="1283" max="1283" width="22.5" style="13" customWidth="1"/>
    <col min="1284" max="1284" width="10.5" style="13" customWidth="1"/>
    <col min="1285" max="1286" width="9.1640625" style="13" customWidth="1"/>
    <col min="1287" max="1287" width="16.6640625" style="13" customWidth="1"/>
    <col min="1288" max="1288" width="23.5" style="13" customWidth="1"/>
    <col min="1289" max="1289" width="21" style="13" customWidth="1"/>
    <col min="1290" max="1290" width="22" style="13" customWidth="1"/>
    <col min="1291" max="1536" width="9.1640625" style="13"/>
    <col min="1537" max="1537" width="9.1640625" style="13" customWidth="1"/>
    <col min="1538" max="1538" width="24.83203125" style="13" customWidth="1"/>
    <col min="1539" max="1539" width="22.5" style="13" customWidth="1"/>
    <col min="1540" max="1540" width="10.5" style="13" customWidth="1"/>
    <col min="1541" max="1542" width="9.1640625" style="13" customWidth="1"/>
    <col min="1543" max="1543" width="16.6640625" style="13" customWidth="1"/>
    <col min="1544" max="1544" width="23.5" style="13" customWidth="1"/>
    <col min="1545" max="1545" width="21" style="13" customWidth="1"/>
    <col min="1546" max="1546" width="22" style="13" customWidth="1"/>
    <col min="1547" max="1792" width="9.1640625" style="13"/>
    <col min="1793" max="1793" width="9.1640625" style="13" customWidth="1"/>
    <col min="1794" max="1794" width="24.83203125" style="13" customWidth="1"/>
    <col min="1795" max="1795" width="22.5" style="13" customWidth="1"/>
    <col min="1796" max="1796" width="10.5" style="13" customWidth="1"/>
    <col min="1797" max="1798" width="9.1640625" style="13" customWidth="1"/>
    <col min="1799" max="1799" width="16.6640625" style="13" customWidth="1"/>
    <col min="1800" max="1800" width="23.5" style="13" customWidth="1"/>
    <col min="1801" max="1801" width="21" style="13" customWidth="1"/>
    <col min="1802" max="1802" width="22" style="13" customWidth="1"/>
    <col min="1803" max="2048" width="9.1640625" style="13"/>
    <col min="2049" max="2049" width="9.1640625" style="13" customWidth="1"/>
    <col min="2050" max="2050" width="24.83203125" style="13" customWidth="1"/>
    <col min="2051" max="2051" width="22.5" style="13" customWidth="1"/>
    <col min="2052" max="2052" width="10.5" style="13" customWidth="1"/>
    <col min="2053" max="2054" width="9.1640625" style="13" customWidth="1"/>
    <col min="2055" max="2055" width="16.6640625" style="13" customWidth="1"/>
    <col min="2056" max="2056" width="23.5" style="13" customWidth="1"/>
    <col min="2057" max="2057" width="21" style="13" customWidth="1"/>
    <col min="2058" max="2058" width="22" style="13" customWidth="1"/>
    <col min="2059" max="2304" width="9.1640625" style="13"/>
    <col min="2305" max="2305" width="9.1640625" style="13" customWidth="1"/>
    <col min="2306" max="2306" width="24.83203125" style="13" customWidth="1"/>
    <col min="2307" max="2307" width="22.5" style="13" customWidth="1"/>
    <col min="2308" max="2308" width="10.5" style="13" customWidth="1"/>
    <col min="2309" max="2310" width="9.1640625" style="13" customWidth="1"/>
    <col min="2311" max="2311" width="16.6640625" style="13" customWidth="1"/>
    <col min="2312" max="2312" width="23.5" style="13" customWidth="1"/>
    <col min="2313" max="2313" width="21" style="13" customWidth="1"/>
    <col min="2314" max="2314" width="22" style="13" customWidth="1"/>
    <col min="2315" max="2560" width="9.1640625" style="13"/>
    <col min="2561" max="2561" width="9.1640625" style="13" customWidth="1"/>
    <col min="2562" max="2562" width="24.83203125" style="13" customWidth="1"/>
    <col min="2563" max="2563" width="22.5" style="13" customWidth="1"/>
    <col min="2564" max="2564" width="10.5" style="13" customWidth="1"/>
    <col min="2565" max="2566" width="9.1640625" style="13" customWidth="1"/>
    <col min="2567" max="2567" width="16.6640625" style="13" customWidth="1"/>
    <col min="2568" max="2568" width="23.5" style="13" customWidth="1"/>
    <col min="2569" max="2569" width="21" style="13" customWidth="1"/>
    <col min="2570" max="2570" width="22" style="13" customWidth="1"/>
    <col min="2571" max="2816" width="9.1640625" style="13"/>
    <col min="2817" max="2817" width="9.1640625" style="13" customWidth="1"/>
    <col min="2818" max="2818" width="24.83203125" style="13" customWidth="1"/>
    <col min="2819" max="2819" width="22.5" style="13" customWidth="1"/>
    <col min="2820" max="2820" width="10.5" style="13" customWidth="1"/>
    <col min="2821" max="2822" width="9.1640625" style="13" customWidth="1"/>
    <col min="2823" max="2823" width="16.6640625" style="13" customWidth="1"/>
    <col min="2824" max="2824" width="23.5" style="13" customWidth="1"/>
    <col min="2825" max="2825" width="21" style="13" customWidth="1"/>
    <col min="2826" max="2826" width="22" style="13" customWidth="1"/>
    <col min="2827" max="3072" width="9.1640625" style="13"/>
    <col min="3073" max="3073" width="9.1640625" style="13" customWidth="1"/>
    <col min="3074" max="3074" width="24.83203125" style="13" customWidth="1"/>
    <col min="3075" max="3075" width="22.5" style="13" customWidth="1"/>
    <col min="3076" max="3076" width="10.5" style="13" customWidth="1"/>
    <col min="3077" max="3078" width="9.1640625" style="13" customWidth="1"/>
    <col min="3079" max="3079" width="16.6640625" style="13" customWidth="1"/>
    <col min="3080" max="3080" width="23.5" style="13" customWidth="1"/>
    <col min="3081" max="3081" width="21" style="13" customWidth="1"/>
    <col min="3082" max="3082" width="22" style="13" customWidth="1"/>
    <col min="3083" max="3328" width="9.1640625" style="13"/>
    <col min="3329" max="3329" width="9.1640625" style="13" customWidth="1"/>
    <col min="3330" max="3330" width="24.83203125" style="13" customWidth="1"/>
    <col min="3331" max="3331" width="22.5" style="13" customWidth="1"/>
    <col min="3332" max="3332" width="10.5" style="13" customWidth="1"/>
    <col min="3333" max="3334" width="9.1640625" style="13" customWidth="1"/>
    <col min="3335" max="3335" width="16.6640625" style="13" customWidth="1"/>
    <col min="3336" max="3336" width="23.5" style="13" customWidth="1"/>
    <col min="3337" max="3337" width="21" style="13" customWidth="1"/>
    <col min="3338" max="3338" width="22" style="13" customWidth="1"/>
    <col min="3339" max="3584" width="9.1640625" style="13"/>
    <col min="3585" max="3585" width="9.1640625" style="13" customWidth="1"/>
    <col min="3586" max="3586" width="24.83203125" style="13" customWidth="1"/>
    <col min="3587" max="3587" width="22.5" style="13" customWidth="1"/>
    <col min="3588" max="3588" width="10.5" style="13" customWidth="1"/>
    <col min="3589" max="3590" width="9.1640625" style="13" customWidth="1"/>
    <col min="3591" max="3591" width="16.6640625" style="13" customWidth="1"/>
    <col min="3592" max="3592" width="23.5" style="13" customWidth="1"/>
    <col min="3593" max="3593" width="21" style="13" customWidth="1"/>
    <col min="3594" max="3594" width="22" style="13" customWidth="1"/>
    <col min="3595" max="3840" width="9.1640625" style="13"/>
    <col min="3841" max="3841" width="9.1640625" style="13" customWidth="1"/>
    <col min="3842" max="3842" width="24.83203125" style="13" customWidth="1"/>
    <col min="3843" max="3843" width="22.5" style="13" customWidth="1"/>
    <col min="3844" max="3844" width="10.5" style="13" customWidth="1"/>
    <col min="3845" max="3846" width="9.1640625" style="13" customWidth="1"/>
    <col min="3847" max="3847" width="16.6640625" style="13" customWidth="1"/>
    <col min="3848" max="3848" width="23.5" style="13" customWidth="1"/>
    <col min="3849" max="3849" width="21" style="13" customWidth="1"/>
    <col min="3850" max="3850" width="22" style="13" customWidth="1"/>
    <col min="3851" max="4096" width="9.1640625" style="13"/>
    <col min="4097" max="4097" width="9.1640625" style="13" customWidth="1"/>
    <col min="4098" max="4098" width="24.83203125" style="13" customWidth="1"/>
    <col min="4099" max="4099" width="22.5" style="13" customWidth="1"/>
    <col min="4100" max="4100" width="10.5" style="13" customWidth="1"/>
    <col min="4101" max="4102" width="9.1640625" style="13" customWidth="1"/>
    <col min="4103" max="4103" width="16.6640625" style="13" customWidth="1"/>
    <col min="4104" max="4104" width="23.5" style="13" customWidth="1"/>
    <col min="4105" max="4105" width="21" style="13" customWidth="1"/>
    <col min="4106" max="4106" width="22" style="13" customWidth="1"/>
    <col min="4107" max="4352" width="9.1640625" style="13"/>
    <col min="4353" max="4353" width="9.1640625" style="13" customWidth="1"/>
    <col min="4354" max="4354" width="24.83203125" style="13" customWidth="1"/>
    <col min="4355" max="4355" width="22.5" style="13" customWidth="1"/>
    <col min="4356" max="4356" width="10.5" style="13" customWidth="1"/>
    <col min="4357" max="4358" width="9.1640625" style="13" customWidth="1"/>
    <col min="4359" max="4359" width="16.6640625" style="13" customWidth="1"/>
    <col min="4360" max="4360" width="23.5" style="13" customWidth="1"/>
    <col min="4361" max="4361" width="21" style="13" customWidth="1"/>
    <col min="4362" max="4362" width="22" style="13" customWidth="1"/>
    <col min="4363" max="4608" width="9.1640625" style="13"/>
    <col min="4609" max="4609" width="9.1640625" style="13" customWidth="1"/>
    <col min="4610" max="4610" width="24.83203125" style="13" customWidth="1"/>
    <col min="4611" max="4611" width="22.5" style="13" customWidth="1"/>
    <col min="4612" max="4612" width="10.5" style="13" customWidth="1"/>
    <col min="4613" max="4614" width="9.1640625" style="13" customWidth="1"/>
    <col min="4615" max="4615" width="16.6640625" style="13" customWidth="1"/>
    <col min="4616" max="4616" width="23.5" style="13" customWidth="1"/>
    <col min="4617" max="4617" width="21" style="13" customWidth="1"/>
    <col min="4618" max="4618" width="22" style="13" customWidth="1"/>
    <col min="4619" max="4864" width="9.1640625" style="13"/>
    <col min="4865" max="4865" width="9.1640625" style="13" customWidth="1"/>
    <col min="4866" max="4866" width="24.83203125" style="13" customWidth="1"/>
    <col min="4867" max="4867" width="22.5" style="13" customWidth="1"/>
    <col min="4868" max="4868" width="10.5" style="13" customWidth="1"/>
    <col min="4869" max="4870" width="9.1640625" style="13" customWidth="1"/>
    <col min="4871" max="4871" width="16.6640625" style="13" customWidth="1"/>
    <col min="4872" max="4872" width="23.5" style="13" customWidth="1"/>
    <col min="4873" max="4873" width="21" style="13" customWidth="1"/>
    <col min="4874" max="4874" width="22" style="13" customWidth="1"/>
    <col min="4875" max="5120" width="9.1640625" style="13"/>
    <col min="5121" max="5121" width="9.1640625" style="13" customWidth="1"/>
    <col min="5122" max="5122" width="24.83203125" style="13" customWidth="1"/>
    <col min="5123" max="5123" width="22.5" style="13" customWidth="1"/>
    <col min="5124" max="5124" width="10.5" style="13" customWidth="1"/>
    <col min="5125" max="5126" width="9.1640625" style="13" customWidth="1"/>
    <col min="5127" max="5127" width="16.6640625" style="13" customWidth="1"/>
    <col min="5128" max="5128" width="23.5" style="13" customWidth="1"/>
    <col min="5129" max="5129" width="21" style="13" customWidth="1"/>
    <col min="5130" max="5130" width="22" style="13" customWidth="1"/>
    <col min="5131" max="5376" width="9.1640625" style="13"/>
    <col min="5377" max="5377" width="9.1640625" style="13" customWidth="1"/>
    <col min="5378" max="5378" width="24.83203125" style="13" customWidth="1"/>
    <col min="5379" max="5379" width="22.5" style="13" customWidth="1"/>
    <col min="5380" max="5380" width="10.5" style="13" customWidth="1"/>
    <col min="5381" max="5382" width="9.1640625" style="13" customWidth="1"/>
    <col min="5383" max="5383" width="16.6640625" style="13" customWidth="1"/>
    <col min="5384" max="5384" width="23.5" style="13" customWidth="1"/>
    <col min="5385" max="5385" width="21" style="13" customWidth="1"/>
    <col min="5386" max="5386" width="22" style="13" customWidth="1"/>
    <col min="5387" max="5632" width="9.1640625" style="13"/>
    <col min="5633" max="5633" width="9.1640625" style="13" customWidth="1"/>
    <col min="5634" max="5634" width="24.83203125" style="13" customWidth="1"/>
    <col min="5635" max="5635" width="22.5" style="13" customWidth="1"/>
    <col min="5636" max="5636" width="10.5" style="13" customWidth="1"/>
    <col min="5637" max="5638" width="9.1640625" style="13" customWidth="1"/>
    <col min="5639" max="5639" width="16.6640625" style="13" customWidth="1"/>
    <col min="5640" max="5640" width="23.5" style="13" customWidth="1"/>
    <col min="5641" max="5641" width="21" style="13" customWidth="1"/>
    <col min="5642" max="5642" width="22" style="13" customWidth="1"/>
    <col min="5643" max="5888" width="9.1640625" style="13"/>
    <col min="5889" max="5889" width="9.1640625" style="13" customWidth="1"/>
    <col min="5890" max="5890" width="24.83203125" style="13" customWidth="1"/>
    <col min="5891" max="5891" width="22.5" style="13" customWidth="1"/>
    <col min="5892" max="5892" width="10.5" style="13" customWidth="1"/>
    <col min="5893" max="5894" width="9.1640625" style="13" customWidth="1"/>
    <col min="5895" max="5895" width="16.6640625" style="13" customWidth="1"/>
    <col min="5896" max="5896" width="23.5" style="13" customWidth="1"/>
    <col min="5897" max="5897" width="21" style="13" customWidth="1"/>
    <col min="5898" max="5898" width="22" style="13" customWidth="1"/>
    <col min="5899" max="6144" width="9.1640625" style="13"/>
    <col min="6145" max="6145" width="9.1640625" style="13" customWidth="1"/>
    <col min="6146" max="6146" width="24.83203125" style="13" customWidth="1"/>
    <col min="6147" max="6147" width="22.5" style="13" customWidth="1"/>
    <col min="6148" max="6148" width="10.5" style="13" customWidth="1"/>
    <col min="6149" max="6150" width="9.1640625" style="13" customWidth="1"/>
    <col min="6151" max="6151" width="16.6640625" style="13" customWidth="1"/>
    <col min="6152" max="6152" width="23.5" style="13" customWidth="1"/>
    <col min="6153" max="6153" width="21" style="13" customWidth="1"/>
    <col min="6154" max="6154" width="22" style="13" customWidth="1"/>
    <col min="6155" max="6400" width="9.1640625" style="13"/>
    <col min="6401" max="6401" width="9.1640625" style="13" customWidth="1"/>
    <col min="6402" max="6402" width="24.83203125" style="13" customWidth="1"/>
    <col min="6403" max="6403" width="22.5" style="13" customWidth="1"/>
    <col min="6404" max="6404" width="10.5" style="13" customWidth="1"/>
    <col min="6405" max="6406" width="9.1640625" style="13" customWidth="1"/>
    <col min="6407" max="6407" width="16.6640625" style="13" customWidth="1"/>
    <col min="6408" max="6408" width="23.5" style="13" customWidth="1"/>
    <col min="6409" max="6409" width="21" style="13" customWidth="1"/>
    <col min="6410" max="6410" width="22" style="13" customWidth="1"/>
    <col min="6411" max="6656" width="9.1640625" style="13"/>
    <col min="6657" max="6657" width="9.1640625" style="13" customWidth="1"/>
    <col min="6658" max="6658" width="24.83203125" style="13" customWidth="1"/>
    <col min="6659" max="6659" width="22.5" style="13" customWidth="1"/>
    <col min="6660" max="6660" width="10.5" style="13" customWidth="1"/>
    <col min="6661" max="6662" width="9.1640625" style="13" customWidth="1"/>
    <col min="6663" max="6663" width="16.6640625" style="13" customWidth="1"/>
    <col min="6664" max="6664" width="23.5" style="13" customWidth="1"/>
    <col min="6665" max="6665" width="21" style="13" customWidth="1"/>
    <col min="6666" max="6666" width="22" style="13" customWidth="1"/>
    <col min="6667" max="6912" width="9.1640625" style="13"/>
    <col min="6913" max="6913" width="9.1640625" style="13" customWidth="1"/>
    <col min="6914" max="6914" width="24.83203125" style="13" customWidth="1"/>
    <col min="6915" max="6915" width="22.5" style="13" customWidth="1"/>
    <col min="6916" max="6916" width="10.5" style="13" customWidth="1"/>
    <col min="6917" max="6918" width="9.1640625" style="13" customWidth="1"/>
    <col min="6919" max="6919" width="16.6640625" style="13" customWidth="1"/>
    <col min="6920" max="6920" width="23.5" style="13" customWidth="1"/>
    <col min="6921" max="6921" width="21" style="13" customWidth="1"/>
    <col min="6922" max="6922" width="22" style="13" customWidth="1"/>
    <col min="6923" max="7168" width="9.1640625" style="13"/>
    <col min="7169" max="7169" width="9.1640625" style="13" customWidth="1"/>
    <col min="7170" max="7170" width="24.83203125" style="13" customWidth="1"/>
    <col min="7171" max="7171" width="22.5" style="13" customWidth="1"/>
    <col min="7172" max="7172" width="10.5" style="13" customWidth="1"/>
    <col min="7173" max="7174" width="9.1640625" style="13" customWidth="1"/>
    <col min="7175" max="7175" width="16.6640625" style="13" customWidth="1"/>
    <col min="7176" max="7176" width="23.5" style="13" customWidth="1"/>
    <col min="7177" max="7177" width="21" style="13" customWidth="1"/>
    <col min="7178" max="7178" width="22" style="13" customWidth="1"/>
    <col min="7179" max="7424" width="9.1640625" style="13"/>
    <col min="7425" max="7425" width="9.1640625" style="13" customWidth="1"/>
    <col min="7426" max="7426" width="24.83203125" style="13" customWidth="1"/>
    <col min="7427" max="7427" width="22.5" style="13" customWidth="1"/>
    <col min="7428" max="7428" width="10.5" style="13" customWidth="1"/>
    <col min="7429" max="7430" width="9.1640625" style="13" customWidth="1"/>
    <col min="7431" max="7431" width="16.6640625" style="13" customWidth="1"/>
    <col min="7432" max="7432" width="23.5" style="13" customWidth="1"/>
    <col min="7433" max="7433" width="21" style="13" customWidth="1"/>
    <col min="7434" max="7434" width="22" style="13" customWidth="1"/>
    <col min="7435" max="7680" width="9.1640625" style="13"/>
    <col min="7681" max="7681" width="9.1640625" style="13" customWidth="1"/>
    <col min="7682" max="7682" width="24.83203125" style="13" customWidth="1"/>
    <col min="7683" max="7683" width="22.5" style="13" customWidth="1"/>
    <col min="7684" max="7684" width="10.5" style="13" customWidth="1"/>
    <col min="7685" max="7686" width="9.1640625" style="13" customWidth="1"/>
    <col min="7687" max="7687" width="16.6640625" style="13" customWidth="1"/>
    <col min="7688" max="7688" width="23.5" style="13" customWidth="1"/>
    <col min="7689" max="7689" width="21" style="13" customWidth="1"/>
    <col min="7690" max="7690" width="22" style="13" customWidth="1"/>
    <col min="7691" max="7936" width="9.1640625" style="13"/>
    <col min="7937" max="7937" width="9.1640625" style="13" customWidth="1"/>
    <col min="7938" max="7938" width="24.83203125" style="13" customWidth="1"/>
    <col min="7939" max="7939" width="22.5" style="13" customWidth="1"/>
    <col min="7940" max="7940" width="10.5" style="13" customWidth="1"/>
    <col min="7941" max="7942" width="9.1640625" style="13" customWidth="1"/>
    <col min="7943" max="7943" width="16.6640625" style="13" customWidth="1"/>
    <col min="7944" max="7944" width="23.5" style="13" customWidth="1"/>
    <col min="7945" max="7945" width="21" style="13" customWidth="1"/>
    <col min="7946" max="7946" width="22" style="13" customWidth="1"/>
    <col min="7947" max="8192" width="9.1640625" style="13"/>
    <col min="8193" max="8193" width="9.1640625" style="13" customWidth="1"/>
    <col min="8194" max="8194" width="24.83203125" style="13" customWidth="1"/>
    <col min="8195" max="8195" width="22.5" style="13" customWidth="1"/>
    <col min="8196" max="8196" width="10.5" style="13" customWidth="1"/>
    <col min="8197" max="8198" width="9.1640625" style="13" customWidth="1"/>
    <col min="8199" max="8199" width="16.6640625" style="13" customWidth="1"/>
    <col min="8200" max="8200" width="23.5" style="13" customWidth="1"/>
    <col min="8201" max="8201" width="21" style="13" customWidth="1"/>
    <col min="8202" max="8202" width="22" style="13" customWidth="1"/>
    <col min="8203" max="8448" width="9.1640625" style="13"/>
    <col min="8449" max="8449" width="9.1640625" style="13" customWidth="1"/>
    <col min="8450" max="8450" width="24.83203125" style="13" customWidth="1"/>
    <col min="8451" max="8451" width="22.5" style="13" customWidth="1"/>
    <col min="8452" max="8452" width="10.5" style="13" customWidth="1"/>
    <col min="8453" max="8454" width="9.1640625" style="13" customWidth="1"/>
    <col min="8455" max="8455" width="16.6640625" style="13" customWidth="1"/>
    <col min="8456" max="8456" width="23.5" style="13" customWidth="1"/>
    <col min="8457" max="8457" width="21" style="13" customWidth="1"/>
    <col min="8458" max="8458" width="22" style="13" customWidth="1"/>
    <col min="8459" max="8704" width="9.1640625" style="13"/>
    <col min="8705" max="8705" width="9.1640625" style="13" customWidth="1"/>
    <col min="8706" max="8706" width="24.83203125" style="13" customWidth="1"/>
    <col min="8707" max="8707" width="22.5" style="13" customWidth="1"/>
    <col min="8708" max="8708" width="10.5" style="13" customWidth="1"/>
    <col min="8709" max="8710" width="9.1640625" style="13" customWidth="1"/>
    <col min="8711" max="8711" width="16.6640625" style="13" customWidth="1"/>
    <col min="8712" max="8712" width="23.5" style="13" customWidth="1"/>
    <col min="8713" max="8713" width="21" style="13" customWidth="1"/>
    <col min="8714" max="8714" width="22" style="13" customWidth="1"/>
    <col min="8715" max="8960" width="9.1640625" style="13"/>
    <col min="8961" max="8961" width="9.1640625" style="13" customWidth="1"/>
    <col min="8962" max="8962" width="24.83203125" style="13" customWidth="1"/>
    <col min="8963" max="8963" width="22.5" style="13" customWidth="1"/>
    <col min="8964" max="8964" width="10.5" style="13" customWidth="1"/>
    <col min="8965" max="8966" width="9.1640625" style="13" customWidth="1"/>
    <col min="8967" max="8967" width="16.6640625" style="13" customWidth="1"/>
    <col min="8968" max="8968" width="23.5" style="13" customWidth="1"/>
    <col min="8969" max="8969" width="21" style="13" customWidth="1"/>
    <col min="8970" max="8970" width="22" style="13" customWidth="1"/>
    <col min="8971" max="9216" width="9.1640625" style="13"/>
    <col min="9217" max="9217" width="9.1640625" style="13" customWidth="1"/>
    <col min="9218" max="9218" width="24.83203125" style="13" customWidth="1"/>
    <col min="9219" max="9219" width="22.5" style="13" customWidth="1"/>
    <col min="9220" max="9220" width="10.5" style="13" customWidth="1"/>
    <col min="9221" max="9222" width="9.1640625" style="13" customWidth="1"/>
    <col min="9223" max="9223" width="16.6640625" style="13" customWidth="1"/>
    <col min="9224" max="9224" width="23.5" style="13" customWidth="1"/>
    <col min="9225" max="9225" width="21" style="13" customWidth="1"/>
    <col min="9226" max="9226" width="22" style="13" customWidth="1"/>
    <col min="9227" max="9472" width="9.1640625" style="13"/>
    <col min="9473" max="9473" width="9.1640625" style="13" customWidth="1"/>
    <col min="9474" max="9474" width="24.83203125" style="13" customWidth="1"/>
    <col min="9475" max="9475" width="22.5" style="13" customWidth="1"/>
    <col min="9476" max="9476" width="10.5" style="13" customWidth="1"/>
    <col min="9477" max="9478" width="9.1640625" style="13" customWidth="1"/>
    <col min="9479" max="9479" width="16.6640625" style="13" customWidth="1"/>
    <col min="9480" max="9480" width="23.5" style="13" customWidth="1"/>
    <col min="9481" max="9481" width="21" style="13" customWidth="1"/>
    <col min="9482" max="9482" width="22" style="13" customWidth="1"/>
    <col min="9483" max="9728" width="9.1640625" style="13"/>
    <col min="9729" max="9729" width="9.1640625" style="13" customWidth="1"/>
    <col min="9730" max="9730" width="24.83203125" style="13" customWidth="1"/>
    <col min="9731" max="9731" width="22.5" style="13" customWidth="1"/>
    <col min="9732" max="9732" width="10.5" style="13" customWidth="1"/>
    <col min="9733" max="9734" width="9.1640625" style="13" customWidth="1"/>
    <col min="9735" max="9735" width="16.6640625" style="13" customWidth="1"/>
    <col min="9736" max="9736" width="23.5" style="13" customWidth="1"/>
    <col min="9737" max="9737" width="21" style="13" customWidth="1"/>
    <col min="9738" max="9738" width="22" style="13" customWidth="1"/>
    <col min="9739" max="9984" width="9.1640625" style="13"/>
    <col min="9985" max="9985" width="9.1640625" style="13" customWidth="1"/>
    <col min="9986" max="9986" width="24.83203125" style="13" customWidth="1"/>
    <col min="9987" max="9987" width="22.5" style="13" customWidth="1"/>
    <col min="9988" max="9988" width="10.5" style="13" customWidth="1"/>
    <col min="9989" max="9990" width="9.1640625" style="13" customWidth="1"/>
    <col min="9991" max="9991" width="16.6640625" style="13" customWidth="1"/>
    <col min="9992" max="9992" width="23.5" style="13" customWidth="1"/>
    <col min="9993" max="9993" width="21" style="13" customWidth="1"/>
    <col min="9994" max="9994" width="22" style="13" customWidth="1"/>
    <col min="9995" max="10240" width="9.1640625" style="13"/>
    <col min="10241" max="10241" width="9.1640625" style="13" customWidth="1"/>
    <col min="10242" max="10242" width="24.83203125" style="13" customWidth="1"/>
    <col min="10243" max="10243" width="22.5" style="13" customWidth="1"/>
    <col min="10244" max="10244" width="10.5" style="13" customWidth="1"/>
    <col min="10245" max="10246" width="9.1640625" style="13" customWidth="1"/>
    <col min="10247" max="10247" width="16.6640625" style="13" customWidth="1"/>
    <col min="10248" max="10248" width="23.5" style="13" customWidth="1"/>
    <col min="10249" max="10249" width="21" style="13" customWidth="1"/>
    <col min="10250" max="10250" width="22" style="13" customWidth="1"/>
    <col min="10251" max="10496" width="9.1640625" style="13"/>
    <col min="10497" max="10497" width="9.1640625" style="13" customWidth="1"/>
    <col min="10498" max="10498" width="24.83203125" style="13" customWidth="1"/>
    <col min="10499" max="10499" width="22.5" style="13" customWidth="1"/>
    <col min="10500" max="10500" width="10.5" style="13" customWidth="1"/>
    <col min="10501" max="10502" width="9.1640625" style="13" customWidth="1"/>
    <col min="10503" max="10503" width="16.6640625" style="13" customWidth="1"/>
    <col min="10504" max="10504" width="23.5" style="13" customWidth="1"/>
    <col min="10505" max="10505" width="21" style="13" customWidth="1"/>
    <col min="10506" max="10506" width="22" style="13" customWidth="1"/>
    <col min="10507" max="10752" width="9.1640625" style="13"/>
    <col min="10753" max="10753" width="9.1640625" style="13" customWidth="1"/>
    <col min="10754" max="10754" width="24.83203125" style="13" customWidth="1"/>
    <col min="10755" max="10755" width="22.5" style="13" customWidth="1"/>
    <col min="10756" max="10756" width="10.5" style="13" customWidth="1"/>
    <col min="10757" max="10758" width="9.1640625" style="13" customWidth="1"/>
    <col min="10759" max="10759" width="16.6640625" style="13" customWidth="1"/>
    <col min="10760" max="10760" width="23.5" style="13" customWidth="1"/>
    <col min="10761" max="10761" width="21" style="13" customWidth="1"/>
    <col min="10762" max="10762" width="22" style="13" customWidth="1"/>
    <col min="10763" max="11008" width="9.1640625" style="13"/>
    <col min="11009" max="11009" width="9.1640625" style="13" customWidth="1"/>
    <col min="11010" max="11010" width="24.83203125" style="13" customWidth="1"/>
    <col min="11011" max="11011" width="22.5" style="13" customWidth="1"/>
    <col min="11012" max="11012" width="10.5" style="13" customWidth="1"/>
    <col min="11013" max="11014" width="9.1640625" style="13" customWidth="1"/>
    <col min="11015" max="11015" width="16.6640625" style="13" customWidth="1"/>
    <col min="11016" max="11016" width="23.5" style="13" customWidth="1"/>
    <col min="11017" max="11017" width="21" style="13" customWidth="1"/>
    <col min="11018" max="11018" width="22" style="13" customWidth="1"/>
    <col min="11019" max="11264" width="9.1640625" style="13"/>
    <col min="11265" max="11265" width="9.1640625" style="13" customWidth="1"/>
    <col min="11266" max="11266" width="24.83203125" style="13" customWidth="1"/>
    <col min="11267" max="11267" width="22.5" style="13" customWidth="1"/>
    <col min="11268" max="11268" width="10.5" style="13" customWidth="1"/>
    <col min="11269" max="11270" width="9.1640625" style="13" customWidth="1"/>
    <col min="11271" max="11271" width="16.6640625" style="13" customWidth="1"/>
    <col min="11272" max="11272" width="23.5" style="13" customWidth="1"/>
    <col min="11273" max="11273" width="21" style="13" customWidth="1"/>
    <col min="11274" max="11274" width="22" style="13" customWidth="1"/>
    <col min="11275" max="11520" width="9.1640625" style="13"/>
    <col min="11521" max="11521" width="9.1640625" style="13" customWidth="1"/>
    <col min="11522" max="11522" width="24.83203125" style="13" customWidth="1"/>
    <col min="11523" max="11523" width="22.5" style="13" customWidth="1"/>
    <col min="11524" max="11524" width="10.5" style="13" customWidth="1"/>
    <col min="11525" max="11526" width="9.1640625" style="13" customWidth="1"/>
    <col min="11527" max="11527" width="16.6640625" style="13" customWidth="1"/>
    <col min="11528" max="11528" width="23.5" style="13" customWidth="1"/>
    <col min="11529" max="11529" width="21" style="13" customWidth="1"/>
    <col min="11530" max="11530" width="22" style="13" customWidth="1"/>
    <col min="11531" max="11776" width="9.1640625" style="13"/>
    <col min="11777" max="11777" width="9.1640625" style="13" customWidth="1"/>
    <col min="11778" max="11778" width="24.83203125" style="13" customWidth="1"/>
    <col min="11779" max="11779" width="22.5" style="13" customWidth="1"/>
    <col min="11780" max="11780" width="10.5" style="13" customWidth="1"/>
    <col min="11781" max="11782" width="9.1640625" style="13" customWidth="1"/>
    <col min="11783" max="11783" width="16.6640625" style="13" customWidth="1"/>
    <col min="11784" max="11784" width="23.5" style="13" customWidth="1"/>
    <col min="11785" max="11785" width="21" style="13" customWidth="1"/>
    <col min="11786" max="11786" width="22" style="13" customWidth="1"/>
    <col min="11787" max="12032" width="9.1640625" style="13"/>
    <col min="12033" max="12033" width="9.1640625" style="13" customWidth="1"/>
    <col min="12034" max="12034" width="24.83203125" style="13" customWidth="1"/>
    <col min="12035" max="12035" width="22.5" style="13" customWidth="1"/>
    <col min="12036" max="12036" width="10.5" style="13" customWidth="1"/>
    <col min="12037" max="12038" width="9.1640625" style="13" customWidth="1"/>
    <col min="12039" max="12039" width="16.6640625" style="13" customWidth="1"/>
    <col min="12040" max="12040" width="23.5" style="13" customWidth="1"/>
    <col min="12041" max="12041" width="21" style="13" customWidth="1"/>
    <col min="12042" max="12042" width="22" style="13" customWidth="1"/>
    <col min="12043" max="12288" width="9.1640625" style="13"/>
    <col min="12289" max="12289" width="9.1640625" style="13" customWidth="1"/>
    <col min="12290" max="12290" width="24.83203125" style="13" customWidth="1"/>
    <col min="12291" max="12291" width="22.5" style="13" customWidth="1"/>
    <col min="12292" max="12292" width="10.5" style="13" customWidth="1"/>
    <col min="12293" max="12294" width="9.1640625" style="13" customWidth="1"/>
    <col min="12295" max="12295" width="16.6640625" style="13" customWidth="1"/>
    <col min="12296" max="12296" width="23.5" style="13" customWidth="1"/>
    <col min="12297" max="12297" width="21" style="13" customWidth="1"/>
    <col min="12298" max="12298" width="22" style="13" customWidth="1"/>
    <col min="12299" max="12544" width="9.1640625" style="13"/>
    <col min="12545" max="12545" width="9.1640625" style="13" customWidth="1"/>
    <col min="12546" max="12546" width="24.83203125" style="13" customWidth="1"/>
    <col min="12547" max="12547" width="22.5" style="13" customWidth="1"/>
    <col min="12548" max="12548" width="10.5" style="13" customWidth="1"/>
    <col min="12549" max="12550" width="9.1640625" style="13" customWidth="1"/>
    <col min="12551" max="12551" width="16.6640625" style="13" customWidth="1"/>
    <col min="12552" max="12552" width="23.5" style="13" customWidth="1"/>
    <col min="12553" max="12553" width="21" style="13" customWidth="1"/>
    <col min="12554" max="12554" width="22" style="13" customWidth="1"/>
    <col min="12555" max="12800" width="9.1640625" style="13"/>
    <col min="12801" max="12801" width="9.1640625" style="13" customWidth="1"/>
    <col min="12802" max="12802" width="24.83203125" style="13" customWidth="1"/>
    <col min="12803" max="12803" width="22.5" style="13" customWidth="1"/>
    <col min="12804" max="12804" width="10.5" style="13" customWidth="1"/>
    <col min="12805" max="12806" width="9.1640625" style="13" customWidth="1"/>
    <col min="12807" max="12807" width="16.6640625" style="13" customWidth="1"/>
    <col min="12808" max="12808" width="23.5" style="13" customWidth="1"/>
    <col min="12809" max="12809" width="21" style="13" customWidth="1"/>
    <col min="12810" max="12810" width="22" style="13" customWidth="1"/>
    <col min="12811" max="13056" width="9.1640625" style="13"/>
    <col min="13057" max="13057" width="9.1640625" style="13" customWidth="1"/>
    <col min="13058" max="13058" width="24.83203125" style="13" customWidth="1"/>
    <col min="13059" max="13059" width="22.5" style="13" customWidth="1"/>
    <col min="13060" max="13060" width="10.5" style="13" customWidth="1"/>
    <col min="13061" max="13062" width="9.1640625" style="13" customWidth="1"/>
    <col min="13063" max="13063" width="16.6640625" style="13" customWidth="1"/>
    <col min="13064" max="13064" width="23.5" style="13" customWidth="1"/>
    <col min="13065" max="13065" width="21" style="13" customWidth="1"/>
    <col min="13066" max="13066" width="22" style="13" customWidth="1"/>
    <col min="13067" max="13312" width="9.1640625" style="13"/>
    <col min="13313" max="13313" width="9.1640625" style="13" customWidth="1"/>
    <col min="13314" max="13314" width="24.83203125" style="13" customWidth="1"/>
    <col min="13315" max="13315" width="22.5" style="13" customWidth="1"/>
    <col min="13316" max="13316" width="10.5" style="13" customWidth="1"/>
    <col min="13317" max="13318" width="9.1640625" style="13" customWidth="1"/>
    <col min="13319" max="13319" width="16.6640625" style="13" customWidth="1"/>
    <col min="13320" max="13320" width="23.5" style="13" customWidth="1"/>
    <col min="13321" max="13321" width="21" style="13" customWidth="1"/>
    <col min="13322" max="13322" width="22" style="13" customWidth="1"/>
    <col min="13323" max="13568" width="9.1640625" style="13"/>
    <col min="13569" max="13569" width="9.1640625" style="13" customWidth="1"/>
    <col min="13570" max="13570" width="24.83203125" style="13" customWidth="1"/>
    <col min="13571" max="13571" width="22.5" style="13" customWidth="1"/>
    <col min="13572" max="13572" width="10.5" style="13" customWidth="1"/>
    <col min="13573" max="13574" width="9.1640625" style="13" customWidth="1"/>
    <col min="13575" max="13575" width="16.6640625" style="13" customWidth="1"/>
    <col min="13576" max="13576" width="23.5" style="13" customWidth="1"/>
    <col min="13577" max="13577" width="21" style="13" customWidth="1"/>
    <col min="13578" max="13578" width="22" style="13" customWidth="1"/>
    <col min="13579" max="13824" width="9.1640625" style="13"/>
    <col min="13825" max="13825" width="9.1640625" style="13" customWidth="1"/>
    <col min="13826" max="13826" width="24.83203125" style="13" customWidth="1"/>
    <col min="13827" max="13827" width="22.5" style="13" customWidth="1"/>
    <col min="13828" max="13828" width="10.5" style="13" customWidth="1"/>
    <col min="13829" max="13830" width="9.1640625" style="13" customWidth="1"/>
    <col min="13831" max="13831" width="16.6640625" style="13" customWidth="1"/>
    <col min="13832" max="13832" width="23.5" style="13" customWidth="1"/>
    <col min="13833" max="13833" width="21" style="13" customWidth="1"/>
    <col min="13834" max="13834" width="22" style="13" customWidth="1"/>
    <col min="13835" max="14080" width="9.1640625" style="13"/>
    <col min="14081" max="14081" width="9.1640625" style="13" customWidth="1"/>
    <col min="14082" max="14082" width="24.83203125" style="13" customWidth="1"/>
    <col min="14083" max="14083" width="22.5" style="13" customWidth="1"/>
    <col min="14084" max="14084" width="10.5" style="13" customWidth="1"/>
    <col min="14085" max="14086" width="9.1640625" style="13" customWidth="1"/>
    <col min="14087" max="14087" width="16.6640625" style="13" customWidth="1"/>
    <col min="14088" max="14088" width="23.5" style="13" customWidth="1"/>
    <col min="14089" max="14089" width="21" style="13" customWidth="1"/>
    <col min="14090" max="14090" width="22" style="13" customWidth="1"/>
    <col min="14091" max="14336" width="9.1640625" style="13"/>
    <col min="14337" max="14337" width="9.1640625" style="13" customWidth="1"/>
    <col min="14338" max="14338" width="24.83203125" style="13" customWidth="1"/>
    <col min="14339" max="14339" width="22.5" style="13" customWidth="1"/>
    <col min="14340" max="14340" width="10.5" style="13" customWidth="1"/>
    <col min="14341" max="14342" width="9.1640625" style="13" customWidth="1"/>
    <col min="14343" max="14343" width="16.6640625" style="13" customWidth="1"/>
    <col min="14344" max="14344" width="23.5" style="13" customWidth="1"/>
    <col min="14345" max="14345" width="21" style="13" customWidth="1"/>
    <col min="14346" max="14346" width="22" style="13" customWidth="1"/>
    <col min="14347" max="14592" width="9.1640625" style="13"/>
    <col min="14593" max="14593" width="9.1640625" style="13" customWidth="1"/>
    <col min="14594" max="14594" width="24.83203125" style="13" customWidth="1"/>
    <col min="14595" max="14595" width="22.5" style="13" customWidth="1"/>
    <col min="14596" max="14596" width="10.5" style="13" customWidth="1"/>
    <col min="14597" max="14598" width="9.1640625" style="13" customWidth="1"/>
    <col min="14599" max="14599" width="16.6640625" style="13" customWidth="1"/>
    <col min="14600" max="14600" width="23.5" style="13" customWidth="1"/>
    <col min="14601" max="14601" width="21" style="13" customWidth="1"/>
    <col min="14602" max="14602" width="22" style="13" customWidth="1"/>
    <col min="14603" max="14848" width="9.1640625" style="13"/>
    <col min="14849" max="14849" width="9.1640625" style="13" customWidth="1"/>
    <col min="14850" max="14850" width="24.83203125" style="13" customWidth="1"/>
    <col min="14851" max="14851" width="22.5" style="13" customWidth="1"/>
    <col min="14852" max="14852" width="10.5" style="13" customWidth="1"/>
    <col min="14853" max="14854" width="9.1640625" style="13" customWidth="1"/>
    <col min="14855" max="14855" width="16.6640625" style="13" customWidth="1"/>
    <col min="14856" max="14856" width="23.5" style="13" customWidth="1"/>
    <col min="14857" max="14857" width="21" style="13" customWidth="1"/>
    <col min="14858" max="14858" width="22" style="13" customWidth="1"/>
    <col min="14859" max="15104" width="9.1640625" style="13"/>
    <col min="15105" max="15105" width="9.1640625" style="13" customWidth="1"/>
    <col min="15106" max="15106" width="24.83203125" style="13" customWidth="1"/>
    <col min="15107" max="15107" width="22.5" style="13" customWidth="1"/>
    <col min="15108" max="15108" width="10.5" style="13" customWidth="1"/>
    <col min="15109" max="15110" width="9.1640625" style="13" customWidth="1"/>
    <col min="15111" max="15111" width="16.6640625" style="13" customWidth="1"/>
    <col min="15112" max="15112" width="23.5" style="13" customWidth="1"/>
    <col min="15113" max="15113" width="21" style="13" customWidth="1"/>
    <col min="15114" max="15114" width="22" style="13" customWidth="1"/>
    <col min="15115" max="15360" width="9.1640625" style="13"/>
    <col min="15361" max="15361" width="9.1640625" style="13" customWidth="1"/>
    <col min="15362" max="15362" width="24.83203125" style="13" customWidth="1"/>
    <col min="15363" max="15363" width="22.5" style="13" customWidth="1"/>
    <col min="15364" max="15364" width="10.5" style="13" customWidth="1"/>
    <col min="15365" max="15366" width="9.1640625" style="13" customWidth="1"/>
    <col min="15367" max="15367" width="16.6640625" style="13" customWidth="1"/>
    <col min="15368" max="15368" width="23.5" style="13" customWidth="1"/>
    <col min="15369" max="15369" width="21" style="13" customWidth="1"/>
    <col min="15370" max="15370" width="22" style="13" customWidth="1"/>
    <col min="15371" max="15616" width="9.1640625" style="13"/>
    <col min="15617" max="15617" width="9.1640625" style="13" customWidth="1"/>
    <col min="15618" max="15618" width="24.83203125" style="13" customWidth="1"/>
    <col min="15619" max="15619" width="22.5" style="13" customWidth="1"/>
    <col min="15620" max="15620" width="10.5" style="13" customWidth="1"/>
    <col min="15621" max="15622" width="9.1640625" style="13" customWidth="1"/>
    <col min="15623" max="15623" width="16.6640625" style="13" customWidth="1"/>
    <col min="15624" max="15624" width="23.5" style="13" customWidth="1"/>
    <col min="15625" max="15625" width="21" style="13" customWidth="1"/>
    <col min="15626" max="15626" width="22" style="13" customWidth="1"/>
    <col min="15627" max="15872" width="9.1640625" style="13"/>
    <col min="15873" max="15873" width="9.1640625" style="13" customWidth="1"/>
    <col min="15874" max="15874" width="24.83203125" style="13" customWidth="1"/>
    <col min="15875" max="15875" width="22.5" style="13" customWidth="1"/>
    <col min="15876" max="15876" width="10.5" style="13" customWidth="1"/>
    <col min="15877" max="15878" width="9.1640625" style="13" customWidth="1"/>
    <col min="15879" max="15879" width="16.6640625" style="13" customWidth="1"/>
    <col min="15880" max="15880" width="23.5" style="13" customWidth="1"/>
    <col min="15881" max="15881" width="21" style="13" customWidth="1"/>
    <col min="15882" max="15882" width="22" style="13" customWidth="1"/>
    <col min="15883" max="16128" width="9.1640625" style="13"/>
    <col min="16129" max="16129" width="9.1640625" style="13" customWidth="1"/>
    <col min="16130" max="16130" width="24.83203125" style="13" customWidth="1"/>
    <col min="16131" max="16131" width="22.5" style="13" customWidth="1"/>
    <col min="16132" max="16132" width="10.5" style="13" customWidth="1"/>
    <col min="16133" max="16134" width="9.1640625" style="13" customWidth="1"/>
    <col min="16135" max="16135" width="16.6640625" style="13" customWidth="1"/>
    <col min="16136" max="16136" width="23.5" style="13" customWidth="1"/>
    <col min="16137" max="16137" width="21" style="13" customWidth="1"/>
    <col min="16138" max="16138" width="22" style="13" customWidth="1"/>
    <col min="16139" max="16384" width="9.1640625" style="13"/>
  </cols>
  <sheetData>
    <row r="1" spans="1:5" ht="15" customHeight="1">
      <c r="A1" s="11" t="s">
        <v>294</v>
      </c>
      <c r="B1" s="12"/>
      <c r="C1" s="12"/>
      <c r="D1" s="30"/>
      <c r="E1" s="30"/>
    </row>
    <row r="2" spans="1:5" ht="15" customHeight="1">
      <c r="A2" s="12"/>
      <c r="B2" s="12"/>
      <c r="C2" s="12"/>
    </row>
    <row r="3" spans="1:5">
      <c r="A3" s="12"/>
      <c r="B3" s="14" t="s">
        <v>24</v>
      </c>
      <c r="C3" s="15"/>
    </row>
    <row r="4" spans="1:5">
      <c r="A4" s="12"/>
      <c r="B4" s="16" t="s">
        <v>25</v>
      </c>
      <c r="C4" s="15">
        <f>D45</f>
        <v>23</v>
      </c>
    </row>
    <row r="5" spans="1:5">
      <c r="A5" s="12"/>
      <c r="B5" s="16" t="s">
        <v>26</v>
      </c>
      <c r="C5" s="15">
        <f>D37</f>
        <v>17</v>
      </c>
    </row>
    <row r="6" spans="1:5" ht="25">
      <c r="A6" s="12"/>
      <c r="B6" s="16" t="s">
        <v>27</v>
      </c>
      <c r="C6" s="15">
        <v>0</v>
      </c>
    </row>
    <row r="7" spans="1:5">
      <c r="A7" s="12"/>
      <c r="B7" s="16" t="s">
        <v>28</v>
      </c>
      <c r="C7" s="15">
        <v>0</v>
      </c>
    </row>
    <row r="8" spans="1:5">
      <c r="A8" s="12"/>
      <c r="B8" s="16" t="s">
        <v>29</v>
      </c>
      <c r="C8" s="15">
        <f>D48</f>
        <v>1</v>
      </c>
    </row>
    <row r="9" spans="1:5">
      <c r="A9" s="12"/>
      <c r="B9" s="16" t="s">
        <v>30</v>
      </c>
      <c r="C9" s="15">
        <f>D53</f>
        <v>3</v>
      </c>
    </row>
    <row r="10" spans="1:5">
      <c r="A10" s="12"/>
      <c r="B10" s="16" t="s">
        <v>14</v>
      </c>
      <c r="C10" s="15">
        <v>0</v>
      </c>
    </row>
    <row r="11" spans="1:5">
      <c r="A11" s="12"/>
      <c r="B11" s="16" t="s">
        <v>15</v>
      </c>
      <c r="C11" s="15">
        <v>0</v>
      </c>
    </row>
    <row r="12" spans="1:5" ht="25">
      <c r="A12" s="12"/>
      <c r="B12" s="16" t="s">
        <v>31</v>
      </c>
      <c r="C12" s="15">
        <f>D139</f>
        <v>84</v>
      </c>
    </row>
    <row r="13" spans="1:5">
      <c r="A13" s="12"/>
      <c r="B13" s="16" t="s">
        <v>32</v>
      </c>
      <c r="C13" s="15">
        <f>D146</f>
        <v>5</v>
      </c>
    </row>
    <row r="14" spans="1:5" ht="25">
      <c r="A14" s="12"/>
      <c r="B14" s="16" t="s">
        <v>33</v>
      </c>
      <c r="C14" s="15">
        <f>D190</f>
        <v>42</v>
      </c>
    </row>
    <row r="15" spans="1:5">
      <c r="A15" s="12"/>
      <c r="B15" s="16" t="s">
        <v>4</v>
      </c>
      <c r="C15" s="17">
        <f>C4+C6+C7+C8+C9+C10+C11</f>
        <v>27</v>
      </c>
    </row>
    <row r="16" spans="1:5" ht="25">
      <c r="A16" s="12"/>
      <c r="B16" s="16" t="s">
        <v>34</v>
      </c>
      <c r="C16" s="15">
        <f>F203</f>
        <v>10</v>
      </c>
    </row>
    <row r="17" spans="1:10" ht="15" customHeight="1"/>
    <row r="18" spans="1:10" ht="15" customHeight="1"/>
    <row r="19" spans="1:10" ht="15" customHeight="1">
      <c r="A19" s="31" t="s">
        <v>35</v>
      </c>
      <c r="B19" s="31" t="s">
        <v>36</v>
      </c>
      <c r="C19" s="31" t="s">
        <v>37</v>
      </c>
      <c r="D19" s="31" t="s">
        <v>38</v>
      </c>
      <c r="E19" s="31" t="s">
        <v>39</v>
      </c>
      <c r="F19" s="31" t="s">
        <v>40</v>
      </c>
      <c r="G19" s="31" t="s">
        <v>41</v>
      </c>
      <c r="H19" s="31" t="s">
        <v>42</v>
      </c>
      <c r="I19" s="31" t="s">
        <v>43</v>
      </c>
      <c r="J19" s="32" t="s">
        <v>44</v>
      </c>
    </row>
    <row r="20" spans="1:10" ht="48">
      <c r="A20" s="27">
        <f>HYPERLINK("http://www.westlaw.com/Find/Default.wl?rs=dfa1.0&amp;vr=2.0&amp;DB=506&amp;FindType=Y&amp;SerialNum=2002603844",6)</f>
        <v>6</v>
      </c>
      <c r="B20" s="21" t="s">
        <v>295</v>
      </c>
      <c r="C20" s="21" t="s">
        <v>296</v>
      </c>
      <c r="D20" s="23" t="s">
        <v>47</v>
      </c>
      <c r="E20" s="23" t="s">
        <v>48</v>
      </c>
      <c r="F20" s="23" t="s">
        <v>49</v>
      </c>
    </row>
    <row r="21" spans="1:10" ht="48">
      <c r="A21" s="27">
        <f>HYPERLINK("http://www.westlaw.com/Find/Default.wl?rs=dfa1.0&amp;vr=2.0&amp;DB=506&amp;FindType=Y&amp;SerialNum=2002540123",15)</f>
        <v>15</v>
      </c>
      <c r="B21" s="21" t="s">
        <v>297</v>
      </c>
      <c r="C21" s="21" t="s">
        <v>298</v>
      </c>
      <c r="D21" s="23" t="s">
        <v>47</v>
      </c>
      <c r="E21" s="23" t="s">
        <v>48</v>
      </c>
      <c r="F21" s="23" t="s">
        <v>49</v>
      </c>
    </row>
    <row r="22" spans="1:10" ht="48">
      <c r="A22" s="27">
        <f>HYPERLINK("http://www.westlaw.com/Find/Default.wl?rs=dfa1.0&amp;vr=2.0&amp;DB=506&amp;FindType=Y&amp;SerialNum=2002540128",16)</f>
        <v>16</v>
      </c>
      <c r="B22" s="21" t="s">
        <v>299</v>
      </c>
      <c r="C22" s="21" t="s">
        <v>300</v>
      </c>
      <c r="D22" s="23" t="s">
        <v>47</v>
      </c>
      <c r="E22" s="23" t="s">
        <v>48</v>
      </c>
      <c r="F22" s="23" t="s">
        <v>49</v>
      </c>
    </row>
    <row r="23" spans="1:10" ht="36">
      <c r="A23" s="27">
        <f>HYPERLINK("http://www.westlaw.com/Find/Default.wl?rs=dfa1.0&amp;vr=2.0&amp;DB=506&amp;FindType=Y&amp;SerialNum=2002527952",19)</f>
        <v>19</v>
      </c>
      <c r="B23" s="21" t="s">
        <v>301</v>
      </c>
      <c r="C23" s="21" t="s">
        <v>302</v>
      </c>
      <c r="D23" s="23" t="s">
        <v>47</v>
      </c>
      <c r="E23" s="23" t="s">
        <v>48</v>
      </c>
      <c r="F23" s="23" t="s">
        <v>49</v>
      </c>
      <c r="G23" s="23"/>
      <c r="H23" s="23"/>
      <c r="I23" s="23"/>
      <c r="J23" s="23"/>
    </row>
    <row r="24" spans="1:10" ht="36">
      <c r="A24" s="27">
        <f>HYPERLINK("http://www.westlaw.com/Find/Default.wl?rs=dfa1.0&amp;vr=2.0&amp;DB=506&amp;FindType=Y&amp;SerialNum=2002527953",20)</f>
        <v>20</v>
      </c>
      <c r="B24" s="21" t="s">
        <v>303</v>
      </c>
      <c r="C24" s="21" t="s">
        <v>304</v>
      </c>
      <c r="D24" s="23" t="s">
        <v>47</v>
      </c>
      <c r="E24" s="23" t="s">
        <v>48</v>
      </c>
      <c r="F24" s="23" t="s">
        <v>49</v>
      </c>
      <c r="G24" s="23"/>
      <c r="H24" s="23"/>
      <c r="I24" s="23"/>
      <c r="J24" s="23"/>
    </row>
    <row r="25" spans="1:10" ht="60">
      <c r="A25" s="27">
        <f>HYPERLINK("http://www.westlaw.com/Find/Default.wl?rs=dfa1.0&amp;vr=2.0&amp;DB=506&amp;FindType=Y&amp;SerialNum=2002478509",30)</f>
        <v>30</v>
      </c>
      <c r="B25" s="21" t="s">
        <v>305</v>
      </c>
      <c r="C25" s="21" t="s">
        <v>306</v>
      </c>
      <c r="D25" s="23" t="s">
        <v>47</v>
      </c>
      <c r="E25" s="23" t="s">
        <v>48</v>
      </c>
      <c r="F25" s="23" t="s">
        <v>49</v>
      </c>
    </row>
    <row r="26" spans="1:10" ht="96">
      <c r="A26" s="27">
        <f>HYPERLINK("http://www.westlaw.com/Find/Default.wl?rs=dfa1.0&amp;vr=2.0&amp;DB=506&amp;FindType=Y&amp;SerialNum=2002471366",40)</f>
        <v>40</v>
      </c>
      <c r="B26" s="21" t="s">
        <v>307</v>
      </c>
      <c r="C26" s="21" t="s">
        <v>308</v>
      </c>
      <c r="D26" s="23" t="s">
        <v>47</v>
      </c>
      <c r="E26" s="23" t="s">
        <v>48</v>
      </c>
      <c r="F26" s="23" t="s">
        <v>49</v>
      </c>
      <c r="G26" s="23"/>
      <c r="H26" s="23"/>
      <c r="I26" s="23"/>
      <c r="J26" s="23"/>
    </row>
    <row r="27" spans="1:10" ht="36">
      <c r="A27" s="27">
        <f>HYPERLINK("http://www.westlaw.com/Find/Default.wl?rs=dfa1.0&amp;vr=2.0&amp;DB=506&amp;FindType=Y&amp;SerialNum=2002450137",42)</f>
        <v>42</v>
      </c>
      <c r="B27" s="21" t="s">
        <v>309</v>
      </c>
      <c r="C27" s="21" t="s">
        <v>310</v>
      </c>
      <c r="D27" s="23" t="s">
        <v>47</v>
      </c>
      <c r="E27" s="23" t="s">
        <v>48</v>
      </c>
      <c r="F27" s="23" t="s">
        <v>49</v>
      </c>
      <c r="G27" s="23"/>
      <c r="H27" s="23"/>
      <c r="I27" s="23"/>
      <c r="J27" s="23"/>
    </row>
    <row r="28" spans="1:10" ht="36">
      <c r="A28" s="27">
        <f>HYPERLINK("http://www.westlaw.com/Find/Default.wl?rs=dfa1.0&amp;vr=2.0&amp;DB=506&amp;FindType=Y&amp;SerialNum=2002408591",56)</f>
        <v>56</v>
      </c>
      <c r="B28" s="21" t="s">
        <v>311</v>
      </c>
      <c r="C28" s="21" t="s">
        <v>312</v>
      </c>
      <c r="D28" s="23" t="s">
        <v>47</v>
      </c>
      <c r="E28" s="23" t="s">
        <v>48</v>
      </c>
      <c r="F28" s="23" t="s">
        <v>49</v>
      </c>
      <c r="G28" s="23"/>
      <c r="H28" s="23"/>
      <c r="I28" s="23"/>
      <c r="J28" s="23"/>
    </row>
    <row r="29" spans="1:10" ht="48">
      <c r="A29" s="27">
        <f>HYPERLINK("http://www.westlaw.com/Find/Default.wl?rs=dfa1.0&amp;vr=2.0&amp;DB=506&amp;FindType=Y&amp;SerialNum=2002338434",69)</f>
        <v>69</v>
      </c>
      <c r="B29" s="21" t="s">
        <v>313</v>
      </c>
      <c r="C29" s="21" t="s">
        <v>314</v>
      </c>
      <c r="D29" s="23" t="s">
        <v>47</v>
      </c>
      <c r="E29" s="23" t="s">
        <v>48</v>
      </c>
      <c r="F29" s="23" t="s">
        <v>49</v>
      </c>
    </row>
    <row r="30" spans="1:10" ht="60">
      <c r="A30" s="27">
        <f>HYPERLINK("http://www.westlaw.com/Find/Default.wl?rs=dfa1.0&amp;vr=2.0&amp;DB=506&amp;FindType=Y&amp;SerialNum=2002321532",81)</f>
        <v>81</v>
      </c>
      <c r="B30" s="21" t="s">
        <v>315</v>
      </c>
      <c r="C30" s="21" t="s">
        <v>316</v>
      </c>
      <c r="D30" s="23" t="s">
        <v>47</v>
      </c>
      <c r="E30" s="23" t="s">
        <v>48</v>
      </c>
      <c r="F30" s="23" t="s">
        <v>49</v>
      </c>
    </row>
    <row r="31" spans="1:10" ht="36">
      <c r="A31" s="27">
        <f>HYPERLINK("http://www.westlaw.com/Find/Default.wl?rs=dfa1.0&amp;vr=2.0&amp;DB=506&amp;FindType=Y&amp;SerialNum=2002292430",85)</f>
        <v>85</v>
      </c>
      <c r="B31" s="21" t="s">
        <v>317</v>
      </c>
      <c r="C31" s="21" t="s">
        <v>318</v>
      </c>
      <c r="D31" s="23" t="s">
        <v>47</v>
      </c>
      <c r="E31" s="23" t="s">
        <v>48</v>
      </c>
      <c r="F31" s="23" t="s">
        <v>49</v>
      </c>
    </row>
    <row r="32" spans="1:10" ht="36">
      <c r="A32" s="27">
        <f>HYPERLINK("http://www.westlaw.com/Find/Default.wl?rs=dfa1.0&amp;vr=2.0&amp;DB=506&amp;FindType=Y&amp;SerialNum=2002238969",94)</f>
        <v>94</v>
      </c>
      <c r="B32" s="21" t="s">
        <v>319</v>
      </c>
      <c r="C32" s="21" t="s">
        <v>320</v>
      </c>
      <c r="D32" s="23" t="s">
        <v>47</v>
      </c>
      <c r="E32" s="23" t="s">
        <v>48</v>
      </c>
      <c r="F32" s="23" t="s">
        <v>49</v>
      </c>
    </row>
    <row r="33" spans="1:10" ht="36">
      <c r="A33" s="27">
        <f>HYPERLINK("http://www.westlaw.com/Find/Default.wl?rs=dfa1.0&amp;vr=2.0&amp;DB=506&amp;FindType=Y&amp;SerialNum=2002171494",122)</f>
        <v>122</v>
      </c>
      <c r="B33" s="21" t="s">
        <v>321</v>
      </c>
      <c r="C33" s="21" t="s">
        <v>322</v>
      </c>
      <c r="D33" s="23" t="s">
        <v>47</v>
      </c>
      <c r="E33" s="23" t="s">
        <v>48</v>
      </c>
      <c r="F33" s="23" t="s">
        <v>49</v>
      </c>
    </row>
    <row r="34" spans="1:10" ht="36">
      <c r="A34" s="27">
        <f>HYPERLINK("http://www.westlaw.com/Find/Default.wl?rs=dfa1.0&amp;vr=2.0&amp;DB=506&amp;FindType=Y&amp;SerialNum=2002161665",124)</f>
        <v>124</v>
      </c>
      <c r="B34" s="21" t="s">
        <v>323</v>
      </c>
      <c r="C34" s="21" t="s">
        <v>324</v>
      </c>
      <c r="D34" s="23" t="s">
        <v>47</v>
      </c>
      <c r="E34" s="23" t="s">
        <v>48</v>
      </c>
      <c r="F34" s="23" t="s">
        <v>49</v>
      </c>
    </row>
    <row r="35" spans="1:10" ht="36">
      <c r="A35" s="27">
        <f>HYPERLINK("http://www.westlaw.com/Find/Default.wl?rs=dfa1.0&amp;vr=2.0&amp;DB=506&amp;FindType=Y&amp;SerialNum=2002085803",146)</f>
        <v>146</v>
      </c>
      <c r="B35" s="21" t="s">
        <v>325</v>
      </c>
      <c r="C35" s="21" t="s">
        <v>326</v>
      </c>
      <c r="D35" s="23" t="s">
        <v>47</v>
      </c>
      <c r="E35" s="23" t="s">
        <v>48</v>
      </c>
      <c r="F35" s="23" t="s">
        <v>49</v>
      </c>
    </row>
    <row r="36" spans="1:10" ht="36">
      <c r="A36" s="27">
        <f>HYPERLINK("http://www.westlaw.com/Find/Default.wl?rs=dfa1.0&amp;vr=2.0&amp;DB=506&amp;FindType=Y&amp;SerialNum=2002273875",86)</f>
        <v>86</v>
      </c>
      <c r="B36" s="21" t="s">
        <v>327</v>
      </c>
      <c r="C36" s="21" t="s">
        <v>328</v>
      </c>
      <c r="D36" s="23" t="s">
        <v>329</v>
      </c>
      <c r="E36" s="23" t="s">
        <v>330</v>
      </c>
      <c r="F36" s="23" t="s">
        <v>49</v>
      </c>
    </row>
    <row r="37" spans="1:10">
      <c r="A37" s="27"/>
      <c r="B37" s="21"/>
      <c r="C37" s="33" t="s">
        <v>81</v>
      </c>
      <c r="D37" s="32">
        <f>COUNTA(D20:D36)</f>
        <v>17</v>
      </c>
      <c r="E37" s="23"/>
      <c r="F37" s="23"/>
    </row>
    <row r="38" spans="1:10">
      <c r="A38" s="27"/>
      <c r="B38" s="21"/>
      <c r="C38" s="21"/>
      <c r="D38" s="23"/>
      <c r="E38" s="23"/>
      <c r="F38" s="23"/>
    </row>
    <row r="39" spans="1:10" ht="60">
      <c r="A39" s="27">
        <f>HYPERLINK("http://www.westlaw.com/Find/Default.wl?rs=dfa1.0&amp;vr=2.0&amp;DB=506&amp;FindType=Y&amp;SerialNum=2002508649",26)</f>
        <v>26</v>
      </c>
      <c r="B39" s="21" t="s">
        <v>331</v>
      </c>
      <c r="C39" s="21" t="s">
        <v>332</v>
      </c>
      <c r="D39" s="23" t="s">
        <v>47</v>
      </c>
      <c r="F39" s="23" t="s">
        <v>49</v>
      </c>
    </row>
    <row r="40" spans="1:10" ht="60">
      <c r="A40" s="27">
        <f>HYPERLINK("http://www.westlaw.com/Find/Default.wl?rs=dfa1.0&amp;vr=2.0&amp;DB=506&amp;FindType=Y&amp;SerialNum=2002399303",60)</f>
        <v>60</v>
      </c>
      <c r="B40" s="21" t="s">
        <v>333</v>
      </c>
      <c r="C40" s="21" t="s">
        <v>334</v>
      </c>
      <c r="D40" s="23" t="s">
        <v>47</v>
      </c>
      <c r="F40" s="23" t="s">
        <v>49</v>
      </c>
    </row>
    <row r="41" spans="1:10" ht="48">
      <c r="A41" s="27">
        <f>HYPERLINK("http://www.westlaw.com/Find/Default.wl?rs=dfa1.0&amp;vr=2.0&amp;DB=506&amp;FindType=Y&amp;SerialNum=2002329152",71)</f>
        <v>71</v>
      </c>
      <c r="B41" s="21" t="s">
        <v>335</v>
      </c>
      <c r="C41" s="21" t="s">
        <v>336</v>
      </c>
      <c r="D41" s="23" t="s">
        <v>47</v>
      </c>
      <c r="F41" s="23" t="s">
        <v>49</v>
      </c>
    </row>
    <row r="42" spans="1:10" ht="36">
      <c r="A42" s="27">
        <f>HYPERLINK("http://www.westlaw.com/Find/Default.wl?rs=dfa1.0&amp;vr=2.0&amp;DB=506&amp;FindType=Y&amp;SerialNum=2002178497",118)</f>
        <v>118</v>
      </c>
      <c r="B42" s="21" t="s">
        <v>337</v>
      </c>
      <c r="C42" s="21" t="s">
        <v>338</v>
      </c>
      <c r="D42" s="23" t="s">
        <v>47</v>
      </c>
      <c r="F42" s="23" t="s">
        <v>49</v>
      </c>
    </row>
    <row r="43" spans="1:10" ht="36">
      <c r="A43" s="27">
        <f>HYPERLINK("http://www.westlaw.com/Find/Default.wl?rs=dfa1.0&amp;vr=2.0&amp;DB=506&amp;FindType=Y&amp;SerialNum=2002179717",119)</f>
        <v>119</v>
      </c>
      <c r="B43" s="21" t="s">
        <v>339</v>
      </c>
      <c r="C43" s="21" t="s">
        <v>340</v>
      </c>
      <c r="D43" s="23" t="s">
        <v>47</v>
      </c>
      <c r="F43" s="23" t="s">
        <v>49</v>
      </c>
    </row>
    <row r="44" spans="1:10" ht="60">
      <c r="A44" s="27">
        <f>HYPERLINK("http://www.westlaw.com/Find/Default.wl?rs=dfa1.0&amp;vr=2.0&amp;DB=506&amp;FindType=Y&amp;SerialNum=2002050242",150)</f>
        <v>150</v>
      </c>
      <c r="B44" s="21" t="s">
        <v>341</v>
      </c>
      <c r="C44" s="21" t="s">
        <v>342</v>
      </c>
      <c r="D44" s="23" t="s">
        <v>47</v>
      </c>
      <c r="F44" s="23" t="s">
        <v>49</v>
      </c>
    </row>
    <row r="45" spans="1:10">
      <c r="A45" s="27"/>
      <c r="B45" s="21"/>
      <c r="C45" s="33" t="s">
        <v>88</v>
      </c>
      <c r="D45" s="32">
        <f>COUNTA(D39:D44)+D37</f>
        <v>23</v>
      </c>
      <c r="E45" s="23"/>
      <c r="F45" s="23"/>
    </row>
    <row r="46" spans="1:10">
      <c r="A46" s="27"/>
      <c r="B46" s="21"/>
      <c r="C46" s="21"/>
      <c r="D46" s="23"/>
      <c r="E46" s="23"/>
      <c r="F46" s="23"/>
    </row>
    <row r="47" spans="1:10" ht="36">
      <c r="A47" s="27">
        <f>HYPERLINK("http://www.westlaw.com/Find/Default.wl?rs=dfa1.0&amp;vr=2.0&amp;DB=506&amp;FindType=Y&amp;SerialNum=2002473693",35)</f>
        <v>35</v>
      </c>
      <c r="B47" s="21" t="s">
        <v>343</v>
      </c>
      <c r="C47" s="21" t="s">
        <v>344</v>
      </c>
      <c r="D47" s="23" t="s">
        <v>79</v>
      </c>
      <c r="E47" s="23"/>
      <c r="F47" s="23" t="s">
        <v>78</v>
      </c>
      <c r="G47" s="23" t="s">
        <v>167</v>
      </c>
      <c r="H47" s="23" t="s">
        <v>79</v>
      </c>
      <c r="I47" s="23" t="s">
        <v>78</v>
      </c>
      <c r="J47" s="23"/>
    </row>
    <row r="48" spans="1:10">
      <c r="A48" s="27"/>
      <c r="B48" s="21"/>
      <c r="C48" s="33" t="s">
        <v>95</v>
      </c>
      <c r="D48" s="32">
        <f>COUNTA(D47)</f>
        <v>1</v>
      </c>
      <c r="E48" s="23"/>
      <c r="F48" s="23"/>
      <c r="G48" s="23"/>
      <c r="H48" s="23"/>
      <c r="I48" s="23"/>
      <c r="J48" s="23"/>
    </row>
    <row r="49" spans="1:10">
      <c r="A49" s="27"/>
      <c r="B49" s="21"/>
      <c r="C49" s="21"/>
      <c r="D49" s="23"/>
      <c r="E49" s="23"/>
      <c r="F49" s="23"/>
      <c r="G49" s="23"/>
      <c r="H49" s="23"/>
      <c r="I49" s="23"/>
      <c r="J49" s="23"/>
    </row>
    <row r="50" spans="1:10" ht="60">
      <c r="A50" s="27">
        <f>HYPERLINK("http://www.westlaw.com/Find/Default.wl?rs=dfa1.0&amp;vr=2.0&amp;DB=506&amp;FindType=Y&amp;SerialNum=2002040500",153)</f>
        <v>153</v>
      </c>
      <c r="B50" s="21" t="s">
        <v>345</v>
      </c>
      <c r="C50" s="21" t="s">
        <v>346</v>
      </c>
      <c r="D50" s="23" t="s">
        <v>100</v>
      </c>
      <c r="F50" s="23" t="s">
        <v>49</v>
      </c>
    </row>
    <row r="51" spans="1:10" ht="72">
      <c r="A51" s="27">
        <f>HYPERLINK("http://www.westlaw.com/Find/Default.wl?rs=dfa1.0&amp;vr=2.0&amp;DB=506&amp;FindType=Y&amp;SerialNum=2001573971",156)</f>
        <v>156</v>
      </c>
      <c r="B51" s="21" t="s">
        <v>347</v>
      </c>
      <c r="C51" s="21" t="s">
        <v>348</v>
      </c>
      <c r="D51" s="23" t="s">
        <v>100</v>
      </c>
      <c r="F51" s="23" t="s">
        <v>49</v>
      </c>
    </row>
    <row r="52" spans="1:10" ht="84">
      <c r="A52" s="27">
        <f>HYPERLINK("http://www.westlaw.com/Find/Default.wl?rs=dfa1.0&amp;vr=2.0&amp;DB=506&amp;FindType=Y&amp;SerialNum=2001591802",155)</f>
        <v>155</v>
      </c>
      <c r="B52" s="21" t="s">
        <v>208</v>
      </c>
      <c r="C52" s="21" t="s">
        <v>349</v>
      </c>
      <c r="D52" s="23" t="s">
        <v>100</v>
      </c>
      <c r="E52" s="23"/>
      <c r="F52" s="23" t="s">
        <v>78</v>
      </c>
      <c r="G52" s="23" t="s">
        <v>167</v>
      </c>
      <c r="H52" s="23" t="s">
        <v>47</v>
      </c>
      <c r="I52" s="23" t="s">
        <v>49</v>
      </c>
      <c r="J52" s="23" t="s">
        <v>350</v>
      </c>
    </row>
    <row r="53" spans="1:10">
      <c r="A53" s="27"/>
      <c r="B53" s="21"/>
      <c r="C53" s="33" t="s">
        <v>95</v>
      </c>
      <c r="D53" s="32">
        <f>COUNTA(D50:D52)</f>
        <v>3</v>
      </c>
      <c r="E53" s="23"/>
      <c r="F53" s="23"/>
    </row>
    <row r="54" spans="1:10">
      <c r="A54" s="27"/>
      <c r="B54" s="21"/>
      <c r="C54" s="21"/>
      <c r="D54" s="23"/>
      <c r="E54" s="23"/>
      <c r="F54" s="23"/>
    </row>
    <row r="55" spans="1:10" ht="48">
      <c r="A55" s="27">
        <f>HYPERLINK("http://www.westlaw.com/Find/Default.wl?rs=dfa1.0&amp;vr=2.0&amp;DB=6538&amp;FindType=Y&amp;SerialNum=2002635565",1)</f>
        <v>1</v>
      </c>
      <c r="B55" s="21" t="s">
        <v>351</v>
      </c>
      <c r="C55" s="21" t="s">
        <v>352</v>
      </c>
      <c r="D55" s="23" t="s">
        <v>111</v>
      </c>
      <c r="F55" s="23" t="s">
        <v>49</v>
      </c>
    </row>
    <row r="56" spans="1:10" ht="48">
      <c r="A56" s="27">
        <f>HYPERLINK("http://www.westlaw.com/Find/Default.wl?rs=dfa1.0&amp;vr=2.0&amp;DB=6538&amp;FindType=Y&amp;SerialNum=2002616134",3)</f>
        <v>3</v>
      </c>
      <c r="B56" s="21" t="s">
        <v>353</v>
      </c>
      <c r="C56" s="21" t="s">
        <v>354</v>
      </c>
      <c r="D56" s="23" t="s">
        <v>111</v>
      </c>
      <c r="E56" s="23"/>
      <c r="F56" s="23" t="s">
        <v>49</v>
      </c>
      <c r="G56" s="23"/>
      <c r="H56" s="23"/>
      <c r="I56" s="23"/>
      <c r="J56" s="23"/>
    </row>
    <row r="57" spans="1:10" ht="48">
      <c r="A57" s="27">
        <f>HYPERLINK("http://www.westlaw.com/Find/Default.wl?rs=dfa1.0&amp;vr=2.0&amp;DB=6538&amp;FindType=Y&amp;SerialNum=2002569202",12)</f>
        <v>12</v>
      </c>
      <c r="B57" s="21" t="s">
        <v>355</v>
      </c>
      <c r="C57" s="21" t="s">
        <v>356</v>
      </c>
      <c r="D57" s="23" t="s">
        <v>111</v>
      </c>
      <c r="F57" s="23" t="s">
        <v>49</v>
      </c>
    </row>
    <row r="58" spans="1:10" ht="48">
      <c r="A58" s="27">
        <f>HYPERLINK("http://www.westlaw.com/Find/Default.wl?rs=dfa1.0&amp;vr=2.0&amp;DB=6538&amp;FindType=Y&amp;SerialNum=2002557900",13)</f>
        <v>13</v>
      </c>
      <c r="B58" s="21" t="s">
        <v>357</v>
      </c>
      <c r="C58" s="21" t="s">
        <v>358</v>
      </c>
      <c r="D58" s="23" t="s">
        <v>111</v>
      </c>
      <c r="F58" s="23" t="s">
        <v>49</v>
      </c>
    </row>
    <row r="59" spans="1:10" ht="36">
      <c r="A59" s="27">
        <f>HYPERLINK("http://www.westlaw.com/Find/Default.wl?rs=dfa1.0&amp;vr=2.0&amp;DB=6538&amp;FindType=Y&amp;SerialNum=2002554574",14)</f>
        <v>14</v>
      </c>
      <c r="B59" s="21" t="s">
        <v>359</v>
      </c>
      <c r="C59" s="21" t="s">
        <v>360</v>
      </c>
      <c r="D59" s="23" t="s">
        <v>111</v>
      </c>
      <c r="F59" s="23" t="s">
        <v>49</v>
      </c>
    </row>
    <row r="60" spans="1:10" ht="36">
      <c r="A60" s="27">
        <f>HYPERLINK("http://www.westlaw.com/Find/Default.wl?rs=dfa1.0&amp;vr=2.0&amp;DB=506&amp;FindType=Y&amp;SerialNum=2002533806",17)</f>
        <v>17</v>
      </c>
      <c r="B60" s="21" t="s">
        <v>361</v>
      </c>
      <c r="C60" s="21" t="s">
        <v>362</v>
      </c>
      <c r="D60" s="23" t="s">
        <v>111</v>
      </c>
      <c r="E60" s="23"/>
      <c r="F60" s="23" t="s">
        <v>49</v>
      </c>
      <c r="G60" s="23"/>
      <c r="H60" s="23"/>
      <c r="I60" s="23"/>
      <c r="J60" s="23"/>
    </row>
    <row r="61" spans="1:10" ht="36">
      <c r="A61" s="27">
        <f>HYPERLINK("http://www.westlaw.com/Find/Default.wl?rs=dfa1.0&amp;vr=2.0&amp;DB=6538&amp;FindType=Y&amp;SerialNum=2002505254",25)</f>
        <v>25</v>
      </c>
      <c r="B61" s="21" t="s">
        <v>363</v>
      </c>
      <c r="C61" s="21" t="s">
        <v>364</v>
      </c>
      <c r="D61" s="23" t="s">
        <v>111</v>
      </c>
      <c r="F61" s="23" t="s">
        <v>49</v>
      </c>
    </row>
    <row r="62" spans="1:10" ht="36">
      <c r="A62" s="27">
        <f>HYPERLINK("http://www.westlaw.com/Find/Default.wl?rs=dfa1.0&amp;vr=2.0&amp;DB=506&amp;FindType=Y&amp;SerialNum=2002488110",27)</f>
        <v>27</v>
      </c>
      <c r="B62" s="21" t="s">
        <v>365</v>
      </c>
      <c r="C62" s="21" t="s">
        <v>366</v>
      </c>
      <c r="D62" s="23" t="s">
        <v>111</v>
      </c>
      <c r="F62" s="23" t="s">
        <v>49</v>
      </c>
    </row>
    <row r="63" spans="1:10" ht="48">
      <c r="A63" s="27">
        <f>HYPERLINK("http://www.westlaw.com/Find/Default.wl?rs=dfa1.0&amp;vr=2.0&amp;DB=6538&amp;FindType=Y&amp;SerialNum=2002488383",28)</f>
        <v>28</v>
      </c>
      <c r="B63" s="21" t="s">
        <v>367</v>
      </c>
      <c r="C63" s="21" t="s">
        <v>368</v>
      </c>
      <c r="D63" s="23" t="s">
        <v>111</v>
      </c>
      <c r="F63" s="23" t="s">
        <v>49</v>
      </c>
    </row>
    <row r="64" spans="1:10" ht="36">
      <c r="A64" s="27">
        <f>HYPERLINK("http://www.westlaw.com/Find/Default.wl?rs=dfa1.0&amp;vr=2.0&amp;DB=6538&amp;FindType=Y&amp;SerialNum=2002481594",29)</f>
        <v>29</v>
      </c>
      <c r="B64" s="21" t="s">
        <v>369</v>
      </c>
      <c r="C64" s="21" t="s">
        <v>370</v>
      </c>
      <c r="D64" s="23" t="s">
        <v>111</v>
      </c>
      <c r="F64" s="23" t="s">
        <v>49</v>
      </c>
    </row>
    <row r="65" spans="1:10" ht="60">
      <c r="A65" s="27">
        <f>HYPERLINK("http://www.westlaw.com/Find/Default.wl?rs=dfa1.0&amp;vr=2.0&amp;DB=506&amp;FindType=Y&amp;SerialNum=2002478518",31)</f>
        <v>31</v>
      </c>
      <c r="B65" s="21" t="s">
        <v>371</v>
      </c>
      <c r="C65" s="21" t="s">
        <v>372</v>
      </c>
      <c r="D65" s="23" t="s">
        <v>111</v>
      </c>
      <c r="F65" s="23" t="s">
        <v>49</v>
      </c>
    </row>
    <row r="66" spans="1:10" ht="36">
      <c r="A66" s="27">
        <f>HYPERLINK("http://www.westlaw.com/Find/Default.wl?rs=dfa1.0&amp;vr=2.0&amp;DB=6538&amp;FindType=Y&amp;SerialNum=2002473114",32)</f>
        <v>32</v>
      </c>
      <c r="B66" s="21" t="s">
        <v>373</v>
      </c>
      <c r="C66" s="21" t="s">
        <v>374</v>
      </c>
      <c r="D66" s="23" t="s">
        <v>111</v>
      </c>
      <c r="F66" s="23" t="s">
        <v>49</v>
      </c>
    </row>
    <row r="67" spans="1:10" ht="36">
      <c r="A67" s="27">
        <f>HYPERLINK("http://www.westlaw.com/Find/Default.wl?rs=dfa1.0&amp;vr=2.0&amp;DB=506&amp;FindType=Y&amp;SerialNum=2002471352",33)</f>
        <v>33</v>
      </c>
      <c r="B67" s="21" t="s">
        <v>375</v>
      </c>
      <c r="C67" s="21" t="s">
        <v>376</v>
      </c>
      <c r="D67" s="23" t="s">
        <v>111</v>
      </c>
      <c r="E67" s="23"/>
      <c r="F67" s="23" t="s">
        <v>49</v>
      </c>
      <c r="G67" s="23"/>
      <c r="H67" s="23"/>
      <c r="I67" s="23"/>
      <c r="J67" s="23"/>
    </row>
    <row r="68" spans="1:10" ht="36">
      <c r="A68" s="27">
        <f>HYPERLINK("http://www.westlaw.com/Find/Default.wl?rs=dfa1.0&amp;vr=2.0&amp;DB=6538&amp;FindType=Y&amp;SerialNum=2002471969",34)</f>
        <v>34</v>
      </c>
      <c r="B68" s="21" t="s">
        <v>377</v>
      </c>
      <c r="C68" s="21" t="s">
        <v>378</v>
      </c>
      <c r="D68" s="23" t="s">
        <v>111</v>
      </c>
      <c r="F68" s="23" t="s">
        <v>49</v>
      </c>
    </row>
    <row r="69" spans="1:10" ht="36">
      <c r="A69" s="27">
        <f>HYPERLINK("http://www.westlaw.com/Find/Default.wl?rs=dfa1.0&amp;vr=2.0&amp;DB=6538&amp;FindType=Y&amp;SerialNum=2002470589",38)</f>
        <v>38</v>
      </c>
      <c r="B69" s="21" t="s">
        <v>379</v>
      </c>
      <c r="C69" s="21" t="s">
        <v>380</v>
      </c>
      <c r="D69" s="23" t="s">
        <v>111</v>
      </c>
      <c r="E69" s="23"/>
      <c r="F69" s="23" t="s">
        <v>49</v>
      </c>
      <c r="G69" s="23"/>
      <c r="H69" s="23"/>
      <c r="I69" s="23"/>
      <c r="J69" s="23"/>
    </row>
    <row r="70" spans="1:10" ht="36">
      <c r="A70" s="27">
        <f>HYPERLINK("http://www.westlaw.com/Find/Default.wl?rs=dfa1.0&amp;vr=2.0&amp;DB=6538&amp;FindType=Y&amp;SerialNum=2002444396",47)</f>
        <v>47</v>
      </c>
      <c r="B70" s="21" t="s">
        <v>381</v>
      </c>
      <c r="C70" s="21" t="s">
        <v>382</v>
      </c>
      <c r="D70" s="23" t="s">
        <v>111</v>
      </c>
      <c r="F70" s="23" t="s">
        <v>49</v>
      </c>
    </row>
    <row r="71" spans="1:10" ht="36">
      <c r="A71" s="27">
        <f>HYPERLINK("http://www.westlaw.com/Find/Default.wl?rs=dfa1.0&amp;vr=2.0&amp;DB=6538&amp;FindType=Y&amp;SerialNum=2002434563",48)</f>
        <v>48</v>
      </c>
      <c r="B71" s="21" t="s">
        <v>383</v>
      </c>
      <c r="C71" s="21" t="s">
        <v>384</v>
      </c>
      <c r="D71" s="23" t="s">
        <v>111</v>
      </c>
      <c r="F71" s="23" t="s">
        <v>49</v>
      </c>
    </row>
    <row r="72" spans="1:10" ht="48">
      <c r="A72" s="27">
        <f>HYPERLINK("http://www.westlaw.com/Find/Default.wl?rs=dfa1.0&amp;vr=2.0&amp;DB=506&amp;FindType=Y&amp;SerialNum=2002430803",49)</f>
        <v>49</v>
      </c>
      <c r="B72" s="21" t="s">
        <v>385</v>
      </c>
      <c r="C72" s="21" t="s">
        <v>386</v>
      </c>
      <c r="D72" s="23" t="s">
        <v>111</v>
      </c>
      <c r="F72" s="23" t="s">
        <v>49</v>
      </c>
    </row>
    <row r="73" spans="1:10" ht="36">
      <c r="A73" s="27">
        <f>HYPERLINK("http://www.westlaw.com/Find/Default.wl?rs=dfa1.0&amp;vr=2.0&amp;DB=6538&amp;FindType=Y&amp;SerialNum=2002424041",50)</f>
        <v>50</v>
      </c>
      <c r="B73" s="21" t="s">
        <v>387</v>
      </c>
      <c r="C73" s="21" t="s">
        <v>388</v>
      </c>
      <c r="D73" s="23" t="s">
        <v>111</v>
      </c>
      <c r="F73" s="23" t="s">
        <v>49</v>
      </c>
    </row>
    <row r="74" spans="1:10" ht="36">
      <c r="A74" s="27">
        <f>HYPERLINK("http://www.westlaw.com/Find/Default.wl?rs=dfa1.0&amp;vr=2.0&amp;DB=6538&amp;FindType=Y&amp;SerialNum=2002424211",51)</f>
        <v>51</v>
      </c>
      <c r="B74" s="21" t="s">
        <v>389</v>
      </c>
      <c r="C74" s="21" t="s">
        <v>390</v>
      </c>
      <c r="D74" s="23" t="s">
        <v>111</v>
      </c>
      <c r="E74" s="23"/>
      <c r="F74" s="23" t="s">
        <v>49</v>
      </c>
      <c r="G74" s="23"/>
      <c r="H74" s="23"/>
      <c r="I74" s="23"/>
      <c r="J74" s="23"/>
    </row>
    <row r="75" spans="1:10" ht="36">
      <c r="A75" s="27">
        <f>HYPERLINK("http://www.westlaw.com/Find/Default.wl?rs=dfa1.0&amp;vr=2.0&amp;DB=6538&amp;FindType=Y&amp;SerialNum=2002430145",54)</f>
        <v>54</v>
      </c>
      <c r="B75" s="21" t="s">
        <v>391</v>
      </c>
      <c r="C75" s="21" t="s">
        <v>392</v>
      </c>
      <c r="D75" s="23" t="s">
        <v>111</v>
      </c>
      <c r="E75" s="23"/>
      <c r="F75" s="23" t="s">
        <v>49</v>
      </c>
      <c r="G75" s="23"/>
      <c r="H75" s="23"/>
      <c r="I75" s="23"/>
      <c r="J75" s="23"/>
    </row>
    <row r="76" spans="1:10" ht="36">
      <c r="A76" s="27">
        <f>HYPERLINK("http://www.westlaw.com/Find/Default.wl?rs=dfa1.0&amp;vr=2.0&amp;DB=506&amp;FindType=Y&amp;SerialNum=2002408181",57)</f>
        <v>57</v>
      </c>
      <c r="B76" s="21" t="s">
        <v>393</v>
      </c>
      <c r="C76" s="21" t="s">
        <v>394</v>
      </c>
      <c r="D76" s="23" t="s">
        <v>111</v>
      </c>
      <c r="E76" s="23"/>
      <c r="F76" s="23" t="s">
        <v>49</v>
      </c>
      <c r="G76" s="23"/>
      <c r="H76" s="23"/>
      <c r="I76" s="23"/>
      <c r="J76" s="23"/>
    </row>
    <row r="77" spans="1:10" ht="60">
      <c r="A77" s="27">
        <f>HYPERLINK("http://www.westlaw.com/Find/Default.wl?rs=dfa1.0&amp;vr=2.0&amp;DB=506&amp;FindType=Y&amp;SerialNum=2002391380",58)</f>
        <v>58</v>
      </c>
      <c r="B77" s="21" t="s">
        <v>395</v>
      </c>
      <c r="C77" s="21" t="s">
        <v>396</v>
      </c>
      <c r="D77" s="23" t="s">
        <v>111</v>
      </c>
      <c r="E77" s="23"/>
      <c r="F77" s="23" t="s">
        <v>49</v>
      </c>
      <c r="G77" s="23"/>
      <c r="H77" s="23"/>
      <c r="I77" s="23"/>
      <c r="J77" s="23"/>
    </row>
    <row r="78" spans="1:10" ht="48">
      <c r="A78" s="27">
        <f>HYPERLINK("http://www.westlaw.com/Find/Default.wl?rs=dfa1.0&amp;vr=2.0&amp;DB=6538&amp;FindType=Y&amp;SerialNum=2002414578",59)</f>
        <v>59</v>
      </c>
      <c r="B78" s="21" t="s">
        <v>397</v>
      </c>
      <c r="C78" s="21" t="s">
        <v>398</v>
      </c>
      <c r="D78" s="23" t="s">
        <v>111</v>
      </c>
      <c r="F78" s="23" t="s">
        <v>49</v>
      </c>
    </row>
    <row r="79" spans="1:10" ht="48">
      <c r="A79" s="27">
        <f>HYPERLINK("http://www.westlaw.com/Find/Default.wl?rs=dfa1.0&amp;vr=2.0&amp;DB=506&amp;FindType=Y&amp;SerialNum=2002381650",61)</f>
        <v>61</v>
      </c>
      <c r="B79" s="21" t="s">
        <v>399</v>
      </c>
      <c r="C79" s="21" t="s">
        <v>400</v>
      </c>
      <c r="D79" s="23" t="s">
        <v>111</v>
      </c>
      <c r="F79" s="23" t="s">
        <v>49</v>
      </c>
    </row>
    <row r="80" spans="1:10" ht="36">
      <c r="A80" s="27">
        <f>HYPERLINK("http://www.westlaw.com/Find/Default.wl?rs=dfa1.0&amp;vr=2.0&amp;DB=6538&amp;FindType=Y&amp;SerialNum=2002366172",62)</f>
        <v>62</v>
      </c>
      <c r="B80" s="21" t="s">
        <v>401</v>
      </c>
      <c r="C80" s="21" t="s">
        <v>402</v>
      </c>
      <c r="D80" s="23" t="s">
        <v>111</v>
      </c>
      <c r="F80" s="23" t="s">
        <v>49</v>
      </c>
      <c r="G80" s="23"/>
    </row>
    <row r="81" spans="1:7" ht="36">
      <c r="A81" s="27">
        <f>HYPERLINK("http://www.westlaw.com/Find/Default.wl?rs=dfa1.0&amp;vr=2.0&amp;DB=6538&amp;FindType=Y&amp;SerialNum=2002340563",64)</f>
        <v>64</v>
      </c>
      <c r="B81" s="21" t="s">
        <v>403</v>
      </c>
      <c r="C81" s="21" t="s">
        <v>404</v>
      </c>
      <c r="D81" s="23" t="s">
        <v>111</v>
      </c>
      <c r="F81" s="23" t="s">
        <v>49</v>
      </c>
      <c r="G81" s="23"/>
    </row>
    <row r="82" spans="1:7" ht="36">
      <c r="A82" s="27">
        <f>HYPERLINK("http://www.westlaw.com/Find/Default.wl?rs=dfa1.0&amp;vr=2.0&amp;DB=6538&amp;FindType=Y&amp;SerialNum=2002350119",65)</f>
        <v>65</v>
      </c>
      <c r="B82" s="21" t="s">
        <v>405</v>
      </c>
      <c r="C82" s="21" t="s">
        <v>406</v>
      </c>
      <c r="D82" s="23" t="s">
        <v>111</v>
      </c>
      <c r="F82" s="23" t="s">
        <v>49</v>
      </c>
      <c r="G82" s="23"/>
    </row>
    <row r="83" spans="1:7" ht="36">
      <c r="A83" s="27">
        <f>HYPERLINK("http://www.westlaw.com/Find/Default.wl?rs=dfa1.0&amp;vr=2.0&amp;DB=6538&amp;FindType=Y&amp;SerialNum=2002556821",66)</f>
        <v>66</v>
      </c>
      <c r="B83" s="21" t="s">
        <v>407</v>
      </c>
      <c r="C83" s="21" t="s">
        <v>408</v>
      </c>
      <c r="D83" s="23" t="s">
        <v>111</v>
      </c>
      <c r="F83" s="23" t="s">
        <v>49</v>
      </c>
    </row>
    <row r="84" spans="1:7" ht="36">
      <c r="A84" s="27">
        <f>HYPERLINK("http://www.westlaw.com/Find/Default.wl?rs=dfa1.0&amp;vr=2.0&amp;DB=6538&amp;FindType=Y&amp;SerialNum=2002556824",67)</f>
        <v>67</v>
      </c>
      <c r="B84" s="21" t="s">
        <v>409</v>
      </c>
      <c r="C84" s="21" t="s">
        <v>410</v>
      </c>
      <c r="D84" s="23" t="s">
        <v>111</v>
      </c>
      <c r="F84" s="23" t="s">
        <v>49</v>
      </c>
    </row>
    <row r="85" spans="1:7" ht="36">
      <c r="A85" s="27">
        <f>HYPERLINK("http://www.westlaw.com/Find/Default.wl?rs=dfa1.0&amp;vr=2.0&amp;DB=6538&amp;FindType=Y&amp;SerialNum=2002339473",68)</f>
        <v>68</v>
      </c>
      <c r="B85" s="21" t="s">
        <v>411</v>
      </c>
      <c r="C85" s="21" t="s">
        <v>412</v>
      </c>
      <c r="D85" s="23" t="s">
        <v>111</v>
      </c>
      <c r="F85" s="23" t="s">
        <v>49</v>
      </c>
    </row>
    <row r="86" spans="1:7" ht="36">
      <c r="A86" s="27">
        <f>HYPERLINK("http://www.westlaw.com/Find/Default.wl?rs=dfa1.0&amp;vr=2.0&amp;DB=6538&amp;FindType=Y&amp;SerialNum=2002328370",74)</f>
        <v>74</v>
      </c>
      <c r="B86" s="21" t="s">
        <v>413</v>
      </c>
      <c r="C86" s="21" t="s">
        <v>414</v>
      </c>
      <c r="D86" s="23" t="s">
        <v>111</v>
      </c>
      <c r="F86" s="23" t="s">
        <v>49</v>
      </c>
    </row>
    <row r="87" spans="1:7" ht="36">
      <c r="A87" s="27">
        <f>HYPERLINK("http://www.westlaw.com/Find/Default.wl?rs=dfa1.0&amp;vr=2.0&amp;DB=6538&amp;FindType=Y&amp;SerialNum=2002364557",75)</f>
        <v>75</v>
      </c>
      <c r="B87" s="21" t="s">
        <v>415</v>
      </c>
      <c r="C87" s="21" t="s">
        <v>416</v>
      </c>
      <c r="D87" s="23" t="s">
        <v>111</v>
      </c>
      <c r="F87" s="23" t="s">
        <v>49</v>
      </c>
    </row>
    <row r="88" spans="1:7" ht="36">
      <c r="A88" s="27">
        <f>HYPERLINK("http://www.westlaw.com/Find/Default.wl?rs=dfa1.0&amp;vr=2.0&amp;DB=6538&amp;FindType=Y&amp;SerialNum=2002321533",76)</f>
        <v>76</v>
      </c>
      <c r="B88" s="21" t="s">
        <v>359</v>
      </c>
      <c r="C88" s="21" t="s">
        <v>417</v>
      </c>
      <c r="D88" s="23" t="s">
        <v>111</v>
      </c>
      <c r="F88" s="23" t="s">
        <v>49</v>
      </c>
    </row>
    <row r="89" spans="1:7" ht="36">
      <c r="A89" s="27">
        <f>HYPERLINK("http://www.westlaw.com/Find/Default.wl?rs=dfa1.0&amp;vr=2.0&amp;DB=6538&amp;FindType=Y&amp;SerialNum=2002328371",78)</f>
        <v>78</v>
      </c>
      <c r="B89" s="21" t="s">
        <v>418</v>
      </c>
      <c r="C89" s="21" t="s">
        <v>419</v>
      </c>
      <c r="D89" s="23" t="s">
        <v>111</v>
      </c>
      <c r="F89" s="23" t="s">
        <v>49</v>
      </c>
    </row>
    <row r="90" spans="1:7" ht="36">
      <c r="A90" s="27">
        <f>HYPERLINK("http://www.westlaw.com/Find/Default.wl?rs=dfa1.0&amp;vr=2.0&amp;DB=6538&amp;FindType=Y&amp;SerialNum=2002334936",79)</f>
        <v>79</v>
      </c>
      <c r="B90" s="21" t="s">
        <v>420</v>
      </c>
      <c r="C90" s="21" t="s">
        <v>421</v>
      </c>
      <c r="D90" s="23" t="s">
        <v>111</v>
      </c>
      <c r="F90" s="23" t="s">
        <v>49</v>
      </c>
    </row>
    <row r="91" spans="1:7" ht="36">
      <c r="A91" s="27">
        <f>HYPERLINK("http://www.westlaw.com/Find/Default.wl?rs=dfa1.0&amp;vr=2.0&amp;DB=6538&amp;FindType=Y&amp;SerialNum=2002557004",80)</f>
        <v>80</v>
      </c>
      <c r="B91" s="21" t="s">
        <v>420</v>
      </c>
      <c r="C91" s="21" t="s">
        <v>422</v>
      </c>
      <c r="D91" s="23" t="s">
        <v>111</v>
      </c>
      <c r="F91" s="23" t="s">
        <v>49</v>
      </c>
    </row>
    <row r="92" spans="1:7" ht="36">
      <c r="A92" s="27">
        <f>HYPERLINK("http://www.westlaw.com/Find/Default.wl?rs=dfa1.0&amp;vr=2.0&amp;DB=6538&amp;FindType=Y&amp;SerialNum=2002313725",82)</f>
        <v>82</v>
      </c>
      <c r="B92" s="21" t="s">
        <v>423</v>
      </c>
      <c r="C92" s="21" t="s">
        <v>424</v>
      </c>
      <c r="D92" s="23" t="s">
        <v>111</v>
      </c>
      <c r="F92" s="23" t="s">
        <v>49</v>
      </c>
    </row>
    <row r="93" spans="1:7" ht="60">
      <c r="A93" s="27">
        <f>HYPERLINK("http://www.westlaw.com/Find/Default.wl?rs=dfa1.0&amp;vr=2.0&amp;DB=506&amp;FindType=Y&amp;SerialNum=2002306305",83)</f>
        <v>83</v>
      </c>
      <c r="B93" s="21" t="s">
        <v>425</v>
      </c>
      <c r="C93" s="21" t="s">
        <v>426</v>
      </c>
      <c r="D93" s="23" t="s">
        <v>111</v>
      </c>
      <c r="F93" s="23" t="s">
        <v>49</v>
      </c>
    </row>
    <row r="94" spans="1:7" ht="36">
      <c r="A94" s="27">
        <f>HYPERLINK("http://www.westlaw.com/Find/Default.wl?rs=dfa1.0&amp;vr=2.0&amp;DB=506&amp;FindType=Y&amp;SerialNum=2002285157",87)</f>
        <v>87</v>
      </c>
      <c r="B94" s="21" t="s">
        <v>427</v>
      </c>
      <c r="C94" s="21" t="s">
        <v>428</v>
      </c>
      <c r="D94" s="23" t="s">
        <v>111</v>
      </c>
      <c r="F94" s="23" t="s">
        <v>49</v>
      </c>
    </row>
    <row r="95" spans="1:7" ht="36">
      <c r="A95" s="27">
        <f>HYPERLINK("http://www.westlaw.com/Find/Default.wl?rs=dfa1.0&amp;vr=2.0&amp;DB=6538&amp;FindType=Y&amp;SerialNum=2002262151",89)</f>
        <v>89</v>
      </c>
      <c r="B95" s="21" t="s">
        <v>429</v>
      </c>
      <c r="C95" s="21" t="s">
        <v>430</v>
      </c>
      <c r="D95" s="23" t="s">
        <v>111</v>
      </c>
      <c r="F95" s="23" t="s">
        <v>49</v>
      </c>
    </row>
    <row r="96" spans="1:7" ht="36">
      <c r="A96" s="27">
        <f>HYPERLINK("http://www.westlaw.com/Find/Default.wl?rs=dfa1.0&amp;vr=2.0&amp;DB=6538&amp;FindType=Y&amp;SerialNum=2002307754",90)</f>
        <v>90</v>
      </c>
      <c r="B96" s="21" t="s">
        <v>431</v>
      </c>
      <c r="C96" s="21" t="s">
        <v>432</v>
      </c>
      <c r="D96" s="23" t="s">
        <v>111</v>
      </c>
      <c r="F96" s="23" t="s">
        <v>49</v>
      </c>
    </row>
    <row r="97" spans="1:6" ht="48">
      <c r="A97" s="27">
        <f>HYPERLINK("http://www.westlaw.com/Find/Default.wl?rs=dfa1.0&amp;vr=2.0&amp;DB=6538&amp;FindType=Y&amp;SerialNum=2002366003",91)</f>
        <v>91</v>
      </c>
      <c r="B97" s="21" t="s">
        <v>433</v>
      </c>
      <c r="C97" s="21" t="s">
        <v>434</v>
      </c>
      <c r="D97" s="23" t="s">
        <v>111</v>
      </c>
      <c r="F97" s="23" t="s">
        <v>49</v>
      </c>
    </row>
    <row r="98" spans="1:6" ht="36">
      <c r="A98" s="27">
        <f>HYPERLINK("http://www.westlaw.com/Find/Default.wl?rs=dfa1.0&amp;vr=2.0&amp;DB=6538&amp;FindType=Y&amp;SerialNum=2002307749",95)</f>
        <v>95</v>
      </c>
      <c r="B98" s="21" t="s">
        <v>435</v>
      </c>
      <c r="C98" s="21" t="s">
        <v>436</v>
      </c>
      <c r="D98" s="23" t="s">
        <v>111</v>
      </c>
      <c r="F98" s="23" t="s">
        <v>49</v>
      </c>
    </row>
    <row r="99" spans="1:6" ht="48">
      <c r="A99" s="27">
        <f>HYPERLINK("http://www.westlaw.com/Find/Default.wl?rs=dfa1.0&amp;vr=2.0&amp;DB=6538&amp;FindType=Y&amp;SerialNum=2002219518",97)</f>
        <v>97</v>
      </c>
      <c r="B99" s="21" t="s">
        <v>437</v>
      </c>
      <c r="C99" s="21" t="s">
        <v>438</v>
      </c>
      <c r="D99" s="23" t="s">
        <v>111</v>
      </c>
      <c r="F99" s="23" t="s">
        <v>49</v>
      </c>
    </row>
    <row r="100" spans="1:6" ht="36">
      <c r="A100" s="27">
        <f>HYPERLINK("http://www.westlaw.com/Find/Default.wl?rs=dfa1.0&amp;vr=2.0&amp;DB=6538&amp;FindType=Y&amp;SerialNum=2002219690",98)</f>
        <v>98</v>
      </c>
      <c r="B100" s="21" t="s">
        <v>439</v>
      </c>
      <c r="C100" s="21" t="s">
        <v>440</v>
      </c>
      <c r="D100" s="23" t="s">
        <v>111</v>
      </c>
      <c r="F100" s="23" t="s">
        <v>49</v>
      </c>
    </row>
    <row r="101" spans="1:6" ht="36">
      <c r="A101" s="27">
        <f>HYPERLINK("http://www.westlaw.com/Find/Default.wl?rs=dfa1.0&amp;vr=2.0&amp;DB=506&amp;FindType=Y&amp;SerialNum=2002217768",99)</f>
        <v>99</v>
      </c>
      <c r="B101" s="21" t="s">
        <v>441</v>
      </c>
      <c r="C101" s="21" t="s">
        <v>442</v>
      </c>
      <c r="D101" s="23" t="s">
        <v>111</v>
      </c>
      <c r="F101" s="23" t="s">
        <v>49</v>
      </c>
    </row>
    <row r="102" spans="1:6" ht="36">
      <c r="A102" s="27">
        <f>HYPERLINK("http://www.westlaw.com/Find/Default.wl?rs=dfa1.0&amp;vr=2.0&amp;DB=6538&amp;FindType=Y&amp;SerialNum=2002218164",100)</f>
        <v>100</v>
      </c>
      <c r="B102" s="21" t="s">
        <v>443</v>
      </c>
      <c r="C102" s="21" t="s">
        <v>444</v>
      </c>
      <c r="D102" s="23" t="s">
        <v>111</v>
      </c>
      <c r="F102" s="23" t="s">
        <v>49</v>
      </c>
    </row>
    <row r="103" spans="1:6" ht="36">
      <c r="A103" s="27">
        <f>HYPERLINK("http://www.westlaw.com/Find/Default.wl?rs=dfa1.0&amp;vr=2.0&amp;DB=6538&amp;FindType=Y&amp;SerialNum=2002218166",101)</f>
        <v>101</v>
      </c>
      <c r="B103" s="21" t="s">
        <v>445</v>
      </c>
      <c r="C103" s="21" t="s">
        <v>446</v>
      </c>
      <c r="D103" s="23" t="s">
        <v>111</v>
      </c>
      <c r="F103" s="23" t="s">
        <v>49</v>
      </c>
    </row>
    <row r="104" spans="1:6" ht="36">
      <c r="A104" s="27">
        <f>HYPERLINK("http://www.westlaw.com/Find/Default.wl?rs=dfa1.0&amp;vr=2.0&amp;DB=6538&amp;FindType=Y&amp;SerialNum=2002218213",102)</f>
        <v>102</v>
      </c>
      <c r="B104" s="21" t="s">
        <v>447</v>
      </c>
      <c r="C104" s="21" t="s">
        <v>448</v>
      </c>
      <c r="D104" s="23" t="s">
        <v>111</v>
      </c>
      <c r="F104" s="23" t="s">
        <v>49</v>
      </c>
    </row>
    <row r="105" spans="1:6" ht="36">
      <c r="A105" s="27">
        <f>HYPERLINK("http://www.westlaw.com/Find/Default.wl?rs=dfa1.0&amp;vr=2.0&amp;DB=506&amp;FindType=Y&amp;SerialNum=2002209455",104)</f>
        <v>104</v>
      </c>
      <c r="B105" s="21" t="s">
        <v>449</v>
      </c>
      <c r="C105" s="21" t="s">
        <v>450</v>
      </c>
      <c r="D105" s="23" t="s">
        <v>111</v>
      </c>
      <c r="F105" s="23" t="s">
        <v>49</v>
      </c>
    </row>
    <row r="106" spans="1:6" ht="48">
      <c r="A106" s="27">
        <f>HYPERLINK("http://www.westlaw.com/Find/Default.wl?rs=dfa1.0&amp;vr=2.0&amp;DB=506&amp;FindType=Y&amp;SerialNum=2002185452",111)</f>
        <v>111</v>
      </c>
      <c r="B106" s="21" t="s">
        <v>451</v>
      </c>
      <c r="C106" s="21" t="s">
        <v>452</v>
      </c>
      <c r="D106" s="23" t="s">
        <v>111</v>
      </c>
      <c r="F106" s="23" t="s">
        <v>49</v>
      </c>
    </row>
    <row r="107" spans="1:6" ht="36">
      <c r="A107" s="27">
        <f>HYPERLINK("http://www.westlaw.com/Find/Default.wl?rs=dfa1.0&amp;vr=2.0&amp;DB=6538&amp;FindType=Y&amp;SerialNum=2002239302",112)</f>
        <v>112</v>
      </c>
      <c r="B107" s="21" t="s">
        <v>453</v>
      </c>
      <c r="C107" s="21" t="s">
        <v>454</v>
      </c>
      <c r="D107" s="23" t="s">
        <v>111</v>
      </c>
      <c r="F107" s="23" t="s">
        <v>49</v>
      </c>
    </row>
    <row r="108" spans="1:6" ht="36">
      <c r="A108" s="27">
        <f>HYPERLINK("http://www.westlaw.com/Find/Default.wl?rs=dfa1.0&amp;vr=2.0&amp;DB=6538&amp;FindType=Y&amp;SerialNum=2002239313",113)</f>
        <v>113</v>
      </c>
      <c r="B108" s="21" t="s">
        <v>455</v>
      </c>
      <c r="C108" s="21" t="s">
        <v>456</v>
      </c>
      <c r="D108" s="23" t="s">
        <v>111</v>
      </c>
      <c r="F108" s="23" t="s">
        <v>49</v>
      </c>
    </row>
    <row r="109" spans="1:6" ht="36">
      <c r="A109" s="27">
        <f>HYPERLINK("http://www.westlaw.com/Find/Default.wl?rs=dfa1.0&amp;vr=2.0&amp;DB=6538&amp;FindType=Y&amp;SerialNum=2002184848",115)</f>
        <v>115</v>
      </c>
      <c r="B109" s="21" t="s">
        <v>457</v>
      </c>
      <c r="C109" s="21" t="s">
        <v>458</v>
      </c>
      <c r="D109" s="23" t="s">
        <v>111</v>
      </c>
      <c r="F109" s="23" t="s">
        <v>49</v>
      </c>
    </row>
    <row r="110" spans="1:6" ht="36">
      <c r="A110" s="27">
        <f>HYPERLINK("http://www.westlaw.com/Find/Default.wl?rs=dfa1.0&amp;vr=2.0&amp;DB=6538&amp;FindType=Y&amp;SerialNum=2002184862",116)</f>
        <v>116</v>
      </c>
      <c r="B110" s="21" t="s">
        <v>459</v>
      </c>
      <c r="C110" s="21" t="s">
        <v>460</v>
      </c>
      <c r="D110" s="23" t="s">
        <v>111</v>
      </c>
      <c r="F110" s="23" t="s">
        <v>49</v>
      </c>
    </row>
    <row r="111" spans="1:6" ht="36">
      <c r="A111" s="27">
        <f>HYPERLINK("http://www.westlaw.com/Find/Default.wl?rs=dfa1.0&amp;vr=2.0&amp;DB=6538&amp;FindType=Y&amp;SerialNum=2002239146",117)</f>
        <v>117</v>
      </c>
      <c r="B111" s="21" t="s">
        <v>461</v>
      </c>
      <c r="C111" s="21" t="s">
        <v>462</v>
      </c>
      <c r="D111" s="23" t="s">
        <v>111</v>
      </c>
      <c r="F111" s="23" t="s">
        <v>49</v>
      </c>
    </row>
    <row r="112" spans="1:6" ht="36">
      <c r="A112" s="27">
        <f>HYPERLINK("http://www.westlaw.com/Find/Default.wl?rs=dfa1.0&amp;vr=2.0&amp;DB=6538&amp;FindType=Y&amp;SerialNum=2002184861",120)</f>
        <v>120</v>
      </c>
      <c r="B112" s="21" t="s">
        <v>463</v>
      </c>
      <c r="C112" s="21" t="s">
        <v>464</v>
      </c>
      <c r="D112" s="23" t="s">
        <v>111</v>
      </c>
      <c r="F112" s="23" t="s">
        <v>49</v>
      </c>
    </row>
    <row r="113" spans="1:6" ht="36">
      <c r="A113" s="27">
        <f>HYPERLINK("http://www.westlaw.com/Find/Default.wl?rs=dfa1.0&amp;vr=2.0&amp;DB=6538&amp;FindType=Y&amp;SerialNum=2002239144",121)</f>
        <v>121</v>
      </c>
      <c r="B113" s="21" t="s">
        <v>465</v>
      </c>
      <c r="C113" s="21" t="s">
        <v>466</v>
      </c>
      <c r="D113" s="23" t="s">
        <v>111</v>
      </c>
      <c r="F113" s="23" t="s">
        <v>49</v>
      </c>
    </row>
    <row r="114" spans="1:6" ht="36">
      <c r="A114" s="27">
        <f>HYPERLINK("http://www.westlaw.com/Find/Default.wl?rs=dfa1.0&amp;vr=2.0&amp;DB=6538&amp;FindType=Y&amp;SerialNum=2002161647",123)</f>
        <v>123</v>
      </c>
      <c r="B114" s="21" t="s">
        <v>467</v>
      </c>
      <c r="C114" s="21" t="s">
        <v>468</v>
      </c>
      <c r="D114" s="23" t="s">
        <v>111</v>
      </c>
      <c r="F114" s="23" t="s">
        <v>49</v>
      </c>
    </row>
    <row r="115" spans="1:6" ht="36">
      <c r="A115" s="27">
        <f>HYPERLINK("http://www.westlaw.com/Find/Default.wl?rs=dfa1.0&amp;vr=2.0&amp;DB=6538&amp;FindType=Y&amp;SerialNum=2002161695",125)</f>
        <v>125</v>
      </c>
      <c r="B115" s="21" t="s">
        <v>469</v>
      </c>
      <c r="C115" s="21" t="s">
        <v>470</v>
      </c>
      <c r="D115" s="23" t="s">
        <v>111</v>
      </c>
      <c r="F115" s="23" t="s">
        <v>49</v>
      </c>
    </row>
    <row r="116" spans="1:6" ht="60">
      <c r="A116" s="27">
        <f>HYPERLINK("http://www.westlaw.com/Find/Default.wl?rs=dfa1.0&amp;vr=2.0&amp;DB=506&amp;FindType=Y&amp;SerialNum=2002158720",126)</f>
        <v>126</v>
      </c>
      <c r="B116" s="21" t="s">
        <v>471</v>
      </c>
      <c r="C116" s="21" t="s">
        <v>472</v>
      </c>
      <c r="D116" s="23" t="s">
        <v>111</v>
      </c>
      <c r="F116" s="23" t="s">
        <v>49</v>
      </c>
    </row>
    <row r="117" spans="1:6" ht="36">
      <c r="A117" s="27">
        <f>HYPERLINK("http://www.westlaw.com/Find/Default.wl?rs=dfa1.0&amp;vr=2.0&amp;DB=6538&amp;FindType=Y&amp;SerialNum=2002158725",127)</f>
        <v>127</v>
      </c>
      <c r="B117" s="21" t="s">
        <v>473</v>
      </c>
      <c r="C117" s="21" t="s">
        <v>474</v>
      </c>
      <c r="D117" s="23" t="s">
        <v>111</v>
      </c>
      <c r="F117" s="23" t="s">
        <v>49</v>
      </c>
    </row>
    <row r="118" spans="1:6" ht="36">
      <c r="A118" s="27">
        <f>HYPERLINK("http://www.westlaw.com/Find/Default.wl?rs=dfa1.0&amp;vr=2.0&amp;DB=6538&amp;FindType=Y&amp;SerialNum=2002142887",128)</f>
        <v>128</v>
      </c>
      <c r="B118" s="21" t="s">
        <v>475</v>
      </c>
      <c r="C118" s="21" t="s">
        <v>476</v>
      </c>
      <c r="D118" s="23" t="s">
        <v>111</v>
      </c>
      <c r="F118" s="23" t="s">
        <v>49</v>
      </c>
    </row>
    <row r="119" spans="1:6" ht="36">
      <c r="A119" s="27">
        <f>HYPERLINK("http://www.westlaw.com/Find/Default.wl?rs=dfa1.0&amp;vr=2.0&amp;DB=506&amp;FindType=Y&amp;SerialNum=2002128637",129)</f>
        <v>129</v>
      </c>
      <c r="B119" s="21" t="s">
        <v>477</v>
      </c>
      <c r="C119" s="21" t="s">
        <v>478</v>
      </c>
      <c r="D119" s="23" t="s">
        <v>111</v>
      </c>
      <c r="F119" s="23" t="s">
        <v>49</v>
      </c>
    </row>
    <row r="120" spans="1:6" ht="36">
      <c r="A120" s="27">
        <f>HYPERLINK("http://www.westlaw.com/Find/Default.wl?rs=dfa1.0&amp;vr=2.0&amp;DB=506&amp;FindType=Y&amp;SerialNum=2002121140",130)</f>
        <v>130</v>
      </c>
      <c r="B120" s="21" t="s">
        <v>479</v>
      </c>
      <c r="C120" s="21" t="s">
        <v>480</v>
      </c>
      <c r="D120" s="23" t="s">
        <v>111</v>
      </c>
      <c r="F120" s="23" t="s">
        <v>49</v>
      </c>
    </row>
    <row r="121" spans="1:6" ht="48">
      <c r="A121" s="27">
        <f>HYPERLINK("http://www.westlaw.com/Find/Default.wl?rs=dfa1.0&amp;vr=2.0&amp;DB=6538&amp;FindType=Y&amp;SerialNum=2002122052",131)</f>
        <v>131</v>
      </c>
      <c r="B121" s="21" t="s">
        <v>481</v>
      </c>
      <c r="C121" s="21" t="s">
        <v>482</v>
      </c>
      <c r="D121" s="23" t="s">
        <v>111</v>
      </c>
      <c r="F121" s="23" t="s">
        <v>49</v>
      </c>
    </row>
    <row r="122" spans="1:6" ht="48">
      <c r="A122" s="27">
        <f>HYPERLINK("http://www.westlaw.com/Find/Default.wl?rs=dfa1.0&amp;vr=2.0&amp;DB=506&amp;FindType=Y&amp;SerialNum=2002128346",132)</f>
        <v>132</v>
      </c>
      <c r="B122" s="21" t="s">
        <v>483</v>
      </c>
      <c r="C122" s="21" t="s">
        <v>484</v>
      </c>
      <c r="D122" s="23" t="s">
        <v>111</v>
      </c>
      <c r="F122" s="23" t="s">
        <v>49</v>
      </c>
    </row>
    <row r="123" spans="1:6" ht="36">
      <c r="A123" s="27">
        <f>HYPERLINK("http://www.westlaw.com/Find/Default.wl?rs=dfa1.0&amp;vr=2.0&amp;DB=506&amp;FindType=Y&amp;SerialNum=2002110525",133)</f>
        <v>133</v>
      </c>
      <c r="B123" s="21" t="s">
        <v>485</v>
      </c>
      <c r="C123" s="21" t="s">
        <v>486</v>
      </c>
      <c r="D123" s="23" t="s">
        <v>111</v>
      </c>
      <c r="F123" s="23" t="s">
        <v>49</v>
      </c>
    </row>
    <row r="124" spans="1:6" ht="84">
      <c r="A124" s="27">
        <f>HYPERLINK("http://www.westlaw.com/Find/Default.wl?rs=dfa1.0&amp;vr=2.0&amp;DB=506&amp;FindType=Y&amp;SerialNum=2002104738",134)</f>
        <v>134</v>
      </c>
      <c r="B124" s="21" t="s">
        <v>487</v>
      </c>
      <c r="C124" s="21" t="s">
        <v>488</v>
      </c>
      <c r="D124" s="23" t="s">
        <v>111</v>
      </c>
      <c r="F124" s="23" t="s">
        <v>49</v>
      </c>
    </row>
    <row r="125" spans="1:6" ht="84">
      <c r="A125" s="27">
        <f>HYPERLINK("http://www.westlaw.com/Find/Default.wl?rs=dfa1.0&amp;vr=2.0&amp;DB=506&amp;FindType=Y&amp;SerialNum=2002067364",148)</f>
        <v>148</v>
      </c>
      <c r="B125" s="21" t="s">
        <v>489</v>
      </c>
      <c r="C125" s="21" t="s">
        <v>490</v>
      </c>
      <c r="D125" s="23" t="s">
        <v>111</v>
      </c>
      <c r="F125" s="23" t="s">
        <v>49</v>
      </c>
    </row>
    <row r="126" spans="1:6" ht="48">
      <c r="A126" s="27">
        <f>HYPERLINK("http://www.westlaw.com/Find/Default.wl?rs=dfa1.0&amp;vr=2.0&amp;DB=506&amp;FindType=Y&amp;SerialNum=2002052768",149)</f>
        <v>149</v>
      </c>
      <c r="B126" s="21" t="s">
        <v>491</v>
      </c>
      <c r="C126" s="21" t="s">
        <v>492</v>
      </c>
      <c r="D126" s="23" t="s">
        <v>111</v>
      </c>
      <c r="F126" s="23" t="s">
        <v>49</v>
      </c>
    </row>
    <row r="127" spans="1:6" ht="36">
      <c r="A127" s="27">
        <f>HYPERLINK("http://www.westlaw.com/Find/Default.wl?rs=dfa1.0&amp;vr=2.0&amp;DB=506&amp;FindType=Y&amp;SerialNum=2002041993",151)</f>
        <v>151</v>
      </c>
      <c r="B127" s="21" t="s">
        <v>493</v>
      </c>
      <c r="C127" s="21" t="s">
        <v>494</v>
      </c>
      <c r="D127" s="23" t="s">
        <v>111</v>
      </c>
      <c r="F127" s="23" t="s">
        <v>49</v>
      </c>
    </row>
    <row r="128" spans="1:6" ht="36">
      <c r="A128" s="27">
        <f>HYPERLINK("http://www.westlaw.com/Find/Default.wl?rs=dfa1.0&amp;vr=2.0&amp;DB=6538&amp;FindType=Y&amp;SerialNum=2002049469",152)</f>
        <v>152</v>
      </c>
      <c r="B128" s="21" t="s">
        <v>495</v>
      </c>
      <c r="C128" s="21" t="s">
        <v>496</v>
      </c>
      <c r="D128" s="23" t="s">
        <v>111</v>
      </c>
      <c r="F128" s="23" t="s">
        <v>49</v>
      </c>
    </row>
    <row r="129" spans="1:10" ht="60">
      <c r="A129" s="27">
        <f>HYPERLINK("http://www.westlaw.com/Find/Default.wl?rs=dfa1.0&amp;vr=2.0&amp;DB=506&amp;FindType=Y&amp;SerialNum=2002039020",154)</f>
        <v>154</v>
      </c>
      <c r="B129" s="21" t="s">
        <v>497</v>
      </c>
      <c r="C129" s="21" t="s">
        <v>498</v>
      </c>
      <c r="D129" s="23" t="s">
        <v>111</v>
      </c>
      <c r="F129" s="23" t="s">
        <v>49</v>
      </c>
    </row>
    <row r="130" spans="1:10" ht="60">
      <c r="A130" s="27">
        <f>HYPERLINK("http://www.westlaw.com/Find/Default.wl?rs=dfa1.0&amp;vr=2.0&amp;DB=506&amp;FindType=Y&amp;SerialNum=2001574079",157)</f>
        <v>157</v>
      </c>
      <c r="B130" s="21" t="s">
        <v>499</v>
      </c>
      <c r="C130" s="21" t="s">
        <v>500</v>
      </c>
      <c r="D130" s="23" t="s">
        <v>111</v>
      </c>
      <c r="F130" s="23" t="s">
        <v>49</v>
      </c>
    </row>
    <row r="131" spans="1:10" ht="48">
      <c r="A131" s="27">
        <f>HYPERLINK("http://www.westlaw.com/Find/Default.wl?rs=dfa1.0&amp;vr=2.0&amp;DB=506&amp;FindType=Y&amp;SerialNum=2001879614",160)</f>
        <v>160</v>
      </c>
      <c r="B131" s="21" t="s">
        <v>501</v>
      </c>
      <c r="C131" s="21" t="s">
        <v>502</v>
      </c>
      <c r="D131" s="23" t="s">
        <v>111</v>
      </c>
      <c r="F131" s="23" t="s">
        <v>49</v>
      </c>
    </row>
    <row r="132" spans="1:10" ht="36">
      <c r="A132" s="27">
        <f>HYPERLINK("http://www.westlaw.com/Find/Default.wl?rs=dfa1.0&amp;vr=2.0&amp;DB=506&amp;FindType=Y&amp;SerialNum=2001862803",161)</f>
        <v>161</v>
      </c>
      <c r="B132" s="21" t="s">
        <v>503</v>
      </c>
      <c r="C132" s="21" t="s">
        <v>504</v>
      </c>
      <c r="D132" s="23" t="s">
        <v>111</v>
      </c>
      <c r="F132" s="23" t="s">
        <v>49</v>
      </c>
    </row>
    <row r="133" spans="1:10" ht="48">
      <c r="A133" s="27">
        <f>HYPERLINK("http://www.westlaw.com/Find/Default.wl?rs=dfa1.0&amp;vr=2.0&amp;DB=506&amp;FindType=Y&amp;SerialNum=2001838166",162)</f>
        <v>162</v>
      </c>
      <c r="B133" s="21" t="s">
        <v>505</v>
      </c>
      <c r="C133" s="21" t="s">
        <v>506</v>
      </c>
      <c r="D133" s="23" t="s">
        <v>111</v>
      </c>
      <c r="F133" s="23" t="s">
        <v>49</v>
      </c>
    </row>
    <row r="134" spans="1:10" ht="48">
      <c r="A134" s="27">
        <f>HYPERLINK("http://www.westlaw.com/Find/Default.wl?rs=dfa1.0&amp;vr=2.0&amp;DB=506&amp;FindType=Y&amp;SerialNum=2001838171",163)</f>
        <v>163</v>
      </c>
      <c r="B134" s="21" t="s">
        <v>507</v>
      </c>
      <c r="C134" s="21" t="s">
        <v>508</v>
      </c>
      <c r="D134" s="23" t="s">
        <v>111</v>
      </c>
      <c r="F134" s="23" t="s">
        <v>49</v>
      </c>
    </row>
    <row r="135" spans="1:10" ht="36">
      <c r="A135" s="27">
        <f>HYPERLINK("http://www.westlaw.com/Find/Default.wl?rs=dfa1.0&amp;vr=2.0&amp;DB=506&amp;FindType=Y&amp;SerialNum=2002364505",63)</f>
        <v>63</v>
      </c>
      <c r="B135" s="21" t="s">
        <v>509</v>
      </c>
      <c r="C135" s="21" t="s">
        <v>510</v>
      </c>
      <c r="D135" s="23" t="s">
        <v>111</v>
      </c>
      <c r="E135" s="23"/>
      <c r="F135" s="23" t="s">
        <v>78</v>
      </c>
      <c r="G135" s="23" t="s">
        <v>167</v>
      </c>
      <c r="H135" s="23" t="s">
        <v>511</v>
      </c>
      <c r="I135" s="23" t="s">
        <v>49</v>
      </c>
      <c r="J135" s="23"/>
    </row>
    <row r="136" spans="1:10" ht="36">
      <c r="A136" s="27">
        <f>HYPERLINK("http://www.westlaw.com/Find/Default.wl?rs=dfa1.0&amp;vr=2.0&amp;DB=6538&amp;FindType=Y&amp;SerialNum=2002328368",88)</f>
        <v>88</v>
      </c>
      <c r="B136" s="21" t="s">
        <v>512</v>
      </c>
      <c r="C136" s="21" t="s">
        <v>513</v>
      </c>
      <c r="D136" s="23" t="s">
        <v>514</v>
      </c>
      <c r="F136" s="23" t="s">
        <v>49</v>
      </c>
    </row>
    <row r="137" spans="1:10" ht="36">
      <c r="A137" s="27">
        <f>HYPERLINK("http://www.westlaw.com/Find/Default.wl?rs=dfa1.0&amp;vr=2.0&amp;DB=6538&amp;FindType=Y&amp;SerialNum=2002218218",103)</f>
        <v>103</v>
      </c>
      <c r="B137" s="21" t="s">
        <v>515</v>
      </c>
      <c r="C137" s="21" t="s">
        <v>516</v>
      </c>
      <c r="D137" s="23" t="s">
        <v>514</v>
      </c>
      <c r="F137" s="23" t="s">
        <v>49</v>
      </c>
    </row>
    <row r="138" spans="1:10" ht="36">
      <c r="A138" s="27">
        <f>HYPERLINK("http://www.westlaw.com/Find/Default.wl?rs=dfa1.0&amp;vr=2.0&amp;DB=6538&amp;FindType=Y&amp;SerialNum=2002239312",109)</f>
        <v>109</v>
      </c>
      <c r="B138" s="21" t="s">
        <v>517</v>
      </c>
      <c r="C138" s="21" t="s">
        <v>518</v>
      </c>
      <c r="D138" s="23" t="s">
        <v>514</v>
      </c>
      <c r="F138" s="23" t="s">
        <v>49</v>
      </c>
    </row>
    <row r="139" spans="1:10">
      <c r="A139" s="27"/>
      <c r="B139" s="21"/>
      <c r="C139" s="33" t="s">
        <v>95</v>
      </c>
      <c r="D139" s="32">
        <f>COUNTA(D55:D138)</f>
        <v>84</v>
      </c>
      <c r="F139" s="23"/>
    </row>
    <row r="140" spans="1:10">
      <c r="A140" s="27"/>
      <c r="B140" s="21"/>
      <c r="C140" s="21"/>
      <c r="D140" s="23"/>
      <c r="F140" s="23"/>
    </row>
    <row r="141" spans="1:10" ht="48">
      <c r="A141" s="27">
        <f>HYPERLINK("http://www.westlaw.com/Find/Default.wl?rs=dfa1.0&amp;vr=2.0&amp;DB=6538&amp;FindType=Y&amp;SerialNum=2002604315",7)</f>
        <v>7</v>
      </c>
      <c r="B141" s="21" t="s">
        <v>519</v>
      </c>
      <c r="C141" s="21" t="s">
        <v>520</v>
      </c>
      <c r="D141" s="23" t="s">
        <v>162</v>
      </c>
      <c r="F141" s="23" t="s">
        <v>49</v>
      </c>
    </row>
    <row r="142" spans="1:10" ht="48">
      <c r="A142" s="27">
        <f>HYPERLINK("http://www.westlaw.com/Find/Default.wl?rs=dfa1.0&amp;vr=2.0&amp;DB=6538&amp;FindType=Y&amp;SerialNum=2002641844",8)</f>
        <v>8</v>
      </c>
      <c r="B142" s="21" t="s">
        <v>521</v>
      </c>
      <c r="C142" s="21" t="s">
        <v>522</v>
      </c>
      <c r="D142" s="23" t="s">
        <v>162</v>
      </c>
      <c r="E142" s="23"/>
      <c r="F142" s="23" t="s">
        <v>49</v>
      </c>
      <c r="G142" s="23"/>
      <c r="H142" s="23"/>
      <c r="I142" s="23"/>
      <c r="J142" s="23"/>
    </row>
    <row r="143" spans="1:10" ht="48">
      <c r="A143" s="27">
        <f>HYPERLINK("http://www.westlaw.com/Find/Default.wl?rs=dfa1.0&amp;vr=2.0&amp;DB=506&amp;FindType=Y&amp;SerialNum=2002571217",10)</f>
        <v>10</v>
      </c>
      <c r="B143" s="21" t="s">
        <v>523</v>
      </c>
      <c r="C143" s="21" t="s">
        <v>524</v>
      </c>
      <c r="D143" s="23" t="s">
        <v>162</v>
      </c>
      <c r="E143" s="23"/>
      <c r="F143" s="23" t="s">
        <v>49</v>
      </c>
      <c r="G143" s="23"/>
      <c r="H143" s="23"/>
      <c r="I143" s="23"/>
      <c r="J143" s="23"/>
    </row>
    <row r="144" spans="1:10" ht="36">
      <c r="A144" s="27">
        <f>HYPERLINK("http://www.westlaw.com/Find/Default.wl?rs=dfa1.0&amp;vr=2.0&amp;DB=506&amp;FindType=Y&amp;SerialNum=2002184843",114)</f>
        <v>114</v>
      </c>
      <c r="B144" s="21" t="s">
        <v>525</v>
      </c>
      <c r="C144" s="21" t="s">
        <v>526</v>
      </c>
      <c r="D144" s="23" t="s">
        <v>162</v>
      </c>
      <c r="F144" s="23" t="s">
        <v>49</v>
      </c>
    </row>
    <row r="145" spans="1:10" ht="48">
      <c r="A145" s="27">
        <f>HYPERLINK("http://www.westlaw.com/Find/Default.wl?rs=dfa1.0&amp;vr=2.0&amp;DB=506&amp;FindType=Y&amp;SerialNum=2001986160",158)</f>
        <v>158</v>
      </c>
      <c r="B145" s="21" t="s">
        <v>527</v>
      </c>
      <c r="C145" s="21" t="s">
        <v>528</v>
      </c>
      <c r="D145" s="23" t="s">
        <v>162</v>
      </c>
      <c r="F145" s="23" t="s">
        <v>49</v>
      </c>
    </row>
    <row r="146" spans="1:10">
      <c r="A146" s="27"/>
      <c r="B146" s="21"/>
      <c r="C146" s="33" t="s">
        <v>95</v>
      </c>
      <c r="D146" s="32">
        <f>COUNTA(D141:D145)</f>
        <v>5</v>
      </c>
      <c r="F146" s="23"/>
    </row>
    <row r="147" spans="1:10">
      <c r="A147" s="27"/>
      <c r="B147" s="21"/>
      <c r="C147" s="21"/>
      <c r="D147" s="23"/>
      <c r="F147" s="23"/>
    </row>
    <row r="148" spans="1:10" ht="48">
      <c r="A148" s="27">
        <f>HYPERLINK("http://www.westlaw.com/Find/Default.wl?rs=dfa1.0&amp;vr=2.0&amp;DB=6538&amp;FindType=Y&amp;SerialNum=2002616132",2)</f>
        <v>2</v>
      </c>
      <c r="B148" s="21" t="s">
        <v>529</v>
      </c>
      <c r="C148" s="21" t="s">
        <v>530</v>
      </c>
      <c r="D148" s="23" t="s">
        <v>279</v>
      </c>
      <c r="E148" s="23"/>
      <c r="F148" s="23" t="s">
        <v>49</v>
      </c>
      <c r="G148" s="23"/>
      <c r="H148" s="23"/>
      <c r="I148" s="23"/>
      <c r="J148" s="23"/>
    </row>
    <row r="149" spans="1:10" ht="48">
      <c r="A149" s="27">
        <f>HYPERLINK("http://www.westlaw.com/Find/Default.wl?rs=dfa1.0&amp;vr=2.0&amp;DB=6538&amp;FindType=Y&amp;SerialNum=2002614421",4)</f>
        <v>4</v>
      </c>
      <c r="B149" s="21" t="s">
        <v>531</v>
      </c>
      <c r="C149" s="21" t="s">
        <v>532</v>
      </c>
      <c r="D149" s="23" t="s">
        <v>279</v>
      </c>
      <c r="E149" s="23"/>
      <c r="F149" s="23" t="s">
        <v>49</v>
      </c>
      <c r="G149" s="23"/>
      <c r="H149" s="23"/>
      <c r="I149" s="23"/>
      <c r="J149" s="23"/>
    </row>
    <row r="150" spans="1:10" ht="48">
      <c r="A150" s="27">
        <f>HYPERLINK("http://www.westlaw.com/Find/Default.wl?rs=dfa1.0&amp;vr=2.0&amp;DB=6538&amp;FindType=Y&amp;SerialNum=2002640328",5)</f>
        <v>5</v>
      </c>
      <c r="B150" s="21" t="s">
        <v>533</v>
      </c>
      <c r="C150" s="21" t="s">
        <v>534</v>
      </c>
      <c r="D150" s="23" t="s">
        <v>279</v>
      </c>
      <c r="E150" s="23"/>
      <c r="F150" s="23" t="s">
        <v>49</v>
      </c>
      <c r="G150" s="23"/>
      <c r="H150" s="23"/>
      <c r="I150" s="23"/>
      <c r="J150" s="23"/>
    </row>
    <row r="151" spans="1:10" ht="48">
      <c r="A151" s="27">
        <f>HYPERLINK("http://www.westlaw.com/Find/Default.wl?rs=dfa1.0&amp;vr=2.0&amp;DB=6538&amp;FindType=Y&amp;SerialNum=2002594856",9)</f>
        <v>9</v>
      </c>
      <c r="B151" s="21" t="s">
        <v>535</v>
      </c>
      <c r="C151" s="21" t="s">
        <v>536</v>
      </c>
      <c r="D151" s="23" t="s">
        <v>279</v>
      </c>
      <c r="E151" s="23"/>
      <c r="F151" s="23" t="s">
        <v>49</v>
      </c>
      <c r="G151" s="23"/>
      <c r="H151" s="23"/>
      <c r="I151" s="23"/>
      <c r="J151" s="23"/>
    </row>
    <row r="152" spans="1:10" ht="36">
      <c r="A152" s="27">
        <f>HYPERLINK("http://www.westlaw.com/Find/Default.wl?rs=dfa1.0&amp;vr=2.0&amp;DB=6538&amp;FindType=Y&amp;SerialNum=2002533869",18)</f>
        <v>18</v>
      </c>
      <c r="B152" s="21" t="s">
        <v>537</v>
      </c>
      <c r="C152" s="21" t="s">
        <v>538</v>
      </c>
      <c r="D152" s="23" t="s">
        <v>279</v>
      </c>
      <c r="E152" s="23"/>
      <c r="F152" s="23" t="s">
        <v>49</v>
      </c>
      <c r="G152" s="23"/>
      <c r="H152" s="23"/>
      <c r="I152" s="23"/>
      <c r="J152" s="23"/>
    </row>
    <row r="153" spans="1:10" ht="48">
      <c r="A153" s="27">
        <f>HYPERLINK("http://www.westlaw.com/Find/Default.wl?rs=dfa1.0&amp;vr=2.0&amp;DB=6538&amp;FindType=Y&amp;SerialNum=2002528135",21)</f>
        <v>21</v>
      </c>
      <c r="B153" s="21" t="s">
        <v>539</v>
      </c>
      <c r="C153" s="21" t="s">
        <v>540</v>
      </c>
      <c r="D153" s="23" t="s">
        <v>279</v>
      </c>
      <c r="E153" s="23"/>
      <c r="F153" s="23" t="s">
        <v>49</v>
      </c>
      <c r="G153" s="23"/>
      <c r="H153" s="23"/>
      <c r="I153" s="23"/>
      <c r="J153" s="23"/>
    </row>
    <row r="154" spans="1:10" ht="36">
      <c r="A154" s="27">
        <f>HYPERLINK("http://www.westlaw.com/Find/Default.wl?rs=dfa1.0&amp;vr=2.0&amp;DB=6538&amp;FindType=Y&amp;SerialNum=2002540129",22)</f>
        <v>22</v>
      </c>
      <c r="B154" s="21" t="s">
        <v>541</v>
      </c>
      <c r="C154" s="21" t="s">
        <v>542</v>
      </c>
      <c r="D154" s="23" t="s">
        <v>279</v>
      </c>
      <c r="E154" s="23"/>
      <c r="F154" s="23" t="s">
        <v>49</v>
      </c>
      <c r="G154" s="23"/>
      <c r="H154" s="23"/>
      <c r="I154" s="23"/>
      <c r="J154" s="23"/>
    </row>
    <row r="155" spans="1:10" ht="72">
      <c r="A155" s="27">
        <f>HYPERLINK("http://www.westlaw.com/Find/Default.wl?rs=dfa1.0&amp;vr=2.0&amp;DB=6538&amp;FindType=Y&amp;SerialNum=2002572160",23)</f>
        <v>23</v>
      </c>
      <c r="B155" s="21" t="s">
        <v>543</v>
      </c>
      <c r="C155" s="21" t="s">
        <v>544</v>
      </c>
      <c r="D155" s="23" t="s">
        <v>279</v>
      </c>
      <c r="E155" s="23"/>
      <c r="F155" s="23" t="s">
        <v>49</v>
      </c>
      <c r="G155" s="23"/>
      <c r="H155" s="23"/>
      <c r="I155" s="23"/>
      <c r="J155" s="23"/>
    </row>
    <row r="156" spans="1:10" ht="36">
      <c r="A156" s="27">
        <f>HYPERLINK("http://www.westlaw.com/Find/Default.wl?rs=dfa1.0&amp;vr=2.0&amp;DB=6538&amp;FindType=Y&amp;SerialNum=2002474884",36)</f>
        <v>36</v>
      </c>
      <c r="B156" s="21" t="s">
        <v>545</v>
      </c>
      <c r="C156" s="21" t="s">
        <v>546</v>
      </c>
      <c r="D156" s="23" t="s">
        <v>279</v>
      </c>
      <c r="E156" s="23"/>
      <c r="F156" s="23" t="s">
        <v>49</v>
      </c>
      <c r="G156" s="23"/>
      <c r="H156" s="23"/>
      <c r="I156" s="23"/>
      <c r="J156" s="23"/>
    </row>
    <row r="157" spans="1:10" ht="36">
      <c r="A157" s="27">
        <f>HYPERLINK("http://www.westlaw.com/Find/Default.wl?rs=dfa1.0&amp;vr=2.0&amp;DB=6538&amp;FindType=Y&amp;SerialNum=2002474893",37)</f>
        <v>37</v>
      </c>
      <c r="B157" s="21" t="s">
        <v>547</v>
      </c>
      <c r="C157" s="21" t="s">
        <v>548</v>
      </c>
      <c r="D157" s="23" t="s">
        <v>279</v>
      </c>
      <c r="E157" s="23"/>
      <c r="F157" s="23" t="s">
        <v>49</v>
      </c>
      <c r="G157" s="23"/>
      <c r="H157" s="23"/>
      <c r="I157" s="23"/>
      <c r="J157" s="23"/>
    </row>
    <row r="158" spans="1:10" ht="36">
      <c r="A158" s="27">
        <f>HYPERLINK("http://www.westlaw.com/Find/Default.wl?rs=dfa1.0&amp;vr=2.0&amp;DB=6538&amp;FindType=Y&amp;SerialNum=2002470640",39)</f>
        <v>39</v>
      </c>
      <c r="B158" s="21" t="s">
        <v>549</v>
      </c>
      <c r="C158" s="21" t="s">
        <v>550</v>
      </c>
      <c r="D158" s="23" t="s">
        <v>279</v>
      </c>
      <c r="E158" s="23"/>
      <c r="F158" s="23" t="s">
        <v>49</v>
      </c>
      <c r="G158" s="23"/>
      <c r="H158" s="23"/>
      <c r="I158" s="23"/>
      <c r="J158" s="23"/>
    </row>
    <row r="159" spans="1:10" ht="48">
      <c r="A159" s="27">
        <f>HYPERLINK("http://www.westlaw.com/Find/Default.wl?rs=dfa1.0&amp;vr=2.0&amp;DB=6538&amp;FindType=Y&amp;SerialNum=2002496223",41)</f>
        <v>41</v>
      </c>
      <c r="B159" s="21" t="s">
        <v>551</v>
      </c>
      <c r="C159" s="21" t="s">
        <v>552</v>
      </c>
      <c r="D159" s="23" t="s">
        <v>279</v>
      </c>
      <c r="E159" s="23"/>
      <c r="F159" s="23" t="s">
        <v>49</v>
      </c>
      <c r="G159" s="23"/>
      <c r="H159" s="23"/>
      <c r="I159" s="23"/>
      <c r="J159" s="23"/>
    </row>
    <row r="160" spans="1:10" ht="36">
      <c r="A160" s="27">
        <f>HYPERLINK("http://www.westlaw.com/Find/Default.wl?rs=dfa1.0&amp;vr=2.0&amp;DB=6538&amp;FindType=Y&amp;SerialNum=2002450142",43)</f>
        <v>43</v>
      </c>
      <c r="B160" s="21" t="s">
        <v>553</v>
      </c>
      <c r="C160" s="21" t="s">
        <v>554</v>
      </c>
      <c r="D160" s="23" t="s">
        <v>279</v>
      </c>
      <c r="E160" s="23"/>
      <c r="F160" s="23" t="s">
        <v>49</v>
      </c>
      <c r="G160" s="23"/>
      <c r="H160" s="23"/>
      <c r="I160" s="23"/>
      <c r="J160" s="23"/>
    </row>
    <row r="161" spans="1:10" ht="36">
      <c r="A161" s="27">
        <f>HYPERLINK("http://www.westlaw.com/Find/Default.wl?rs=dfa1.0&amp;vr=2.0&amp;DB=6538&amp;FindType=Y&amp;SerialNum=2002450141",44)</f>
        <v>44</v>
      </c>
      <c r="B161" s="21" t="s">
        <v>555</v>
      </c>
      <c r="C161" s="21" t="s">
        <v>556</v>
      </c>
      <c r="D161" s="23" t="s">
        <v>279</v>
      </c>
      <c r="E161" s="23"/>
      <c r="F161" s="23" t="s">
        <v>49</v>
      </c>
      <c r="G161" s="23"/>
      <c r="H161" s="23"/>
      <c r="I161" s="23"/>
      <c r="J161" s="23"/>
    </row>
    <row r="162" spans="1:10" ht="36">
      <c r="A162" s="27">
        <f>HYPERLINK("http://www.westlaw.com/Find/Default.wl?rs=dfa1.0&amp;vr=2.0&amp;DB=6538&amp;FindType=Y&amp;SerialNum=2002650157",45)</f>
        <v>45</v>
      </c>
      <c r="B162" s="21" t="s">
        <v>555</v>
      </c>
      <c r="C162" s="21" t="s">
        <v>557</v>
      </c>
      <c r="D162" s="23" t="s">
        <v>279</v>
      </c>
      <c r="E162" s="23"/>
      <c r="F162" s="23" t="s">
        <v>49</v>
      </c>
      <c r="G162" s="23"/>
      <c r="H162" s="23"/>
      <c r="I162" s="23"/>
      <c r="J162" s="23"/>
    </row>
    <row r="163" spans="1:10" ht="36">
      <c r="A163" s="27">
        <f>HYPERLINK("http://www.westlaw.com/Find/Default.wl?rs=dfa1.0&amp;vr=2.0&amp;DB=6538&amp;FindType=Y&amp;SerialNum=2002444394",46)</f>
        <v>46</v>
      </c>
      <c r="B163" s="21" t="s">
        <v>558</v>
      </c>
      <c r="C163" s="21" t="s">
        <v>559</v>
      </c>
      <c r="D163" s="23" t="s">
        <v>279</v>
      </c>
      <c r="E163" s="23"/>
      <c r="F163" s="23" t="s">
        <v>49</v>
      </c>
      <c r="G163" s="23"/>
      <c r="H163" s="23"/>
      <c r="I163" s="23"/>
      <c r="J163" s="23"/>
    </row>
    <row r="164" spans="1:10" ht="36">
      <c r="A164" s="27">
        <f>HYPERLINK("http://www.westlaw.com/Find/Default.wl?rs=dfa1.0&amp;vr=2.0&amp;DB=6538&amp;FindType=Y&amp;SerialNum=2002430148",52)</f>
        <v>52</v>
      </c>
      <c r="B164" s="21" t="s">
        <v>560</v>
      </c>
      <c r="C164" s="21" t="s">
        <v>561</v>
      </c>
      <c r="D164" s="23" t="s">
        <v>279</v>
      </c>
      <c r="E164" s="23"/>
      <c r="F164" s="23" t="s">
        <v>49</v>
      </c>
      <c r="G164" s="23"/>
      <c r="H164" s="23"/>
      <c r="I164" s="23"/>
      <c r="J164" s="23"/>
    </row>
    <row r="165" spans="1:10" ht="36">
      <c r="A165" s="27">
        <f>HYPERLINK("http://www.westlaw.com/Find/Default.wl?rs=dfa1.0&amp;vr=2.0&amp;DB=6538&amp;FindType=Y&amp;SerialNum=2002496221",53)</f>
        <v>53</v>
      </c>
      <c r="B165" s="21" t="s">
        <v>562</v>
      </c>
      <c r="C165" s="21" t="s">
        <v>563</v>
      </c>
      <c r="D165" s="23" t="s">
        <v>279</v>
      </c>
      <c r="E165" s="23"/>
      <c r="F165" s="23" t="s">
        <v>49</v>
      </c>
      <c r="G165" s="23"/>
      <c r="H165" s="23"/>
      <c r="I165" s="23"/>
      <c r="J165" s="23"/>
    </row>
    <row r="166" spans="1:10" ht="36">
      <c r="A166" s="27">
        <f>HYPERLINK("http://www.westlaw.com/Find/Default.wl?rs=dfa1.0&amp;vr=2.0&amp;DB=6538&amp;FindType=Y&amp;SerialNum=2002421230",55)</f>
        <v>55</v>
      </c>
      <c r="B166" s="21" t="s">
        <v>564</v>
      </c>
      <c r="C166" s="21" t="s">
        <v>565</v>
      </c>
      <c r="D166" s="23" t="s">
        <v>279</v>
      </c>
      <c r="E166" s="23"/>
      <c r="F166" s="23" t="s">
        <v>49</v>
      </c>
      <c r="G166" s="23"/>
      <c r="H166" s="23"/>
      <c r="I166" s="23"/>
      <c r="J166" s="23"/>
    </row>
    <row r="167" spans="1:10" ht="36">
      <c r="A167" s="27">
        <f>HYPERLINK("http://www.westlaw.com/Find/Default.wl?rs=dfa1.0&amp;vr=2.0&amp;DB=6538&amp;FindType=Y&amp;SerialNum=2002364455",70)</f>
        <v>70</v>
      </c>
      <c r="B167" s="21" t="s">
        <v>566</v>
      </c>
      <c r="C167" s="21" t="s">
        <v>567</v>
      </c>
      <c r="D167" s="23" t="s">
        <v>279</v>
      </c>
      <c r="E167" s="23"/>
      <c r="F167" s="23" t="s">
        <v>49</v>
      </c>
      <c r="G167" s="23"/>
      <c r="H167" s="23"/>
      <c r="I167" s="23"/>
      <c r="J167" s="23"/>
    </row>
    <row r="168" spans="1:10" ht="36">
      <c r="A168" s="27">
        <f>HYPERLINK("http://www.westlaw.com/Find/Default.wl?rs=dfa1.0&amp;vr=2.0&amp;DB=6538&amp;FindType=Y&amp;SerialNum=2002474883",72)</f>
        <v>72</v>
      </c>
      <c r="B168" s="21" t="s">
        <v>568</v>
      </c>
      <c r="C168" s="21" t="s">
        <v>569</v>
      </c>
      <c r="D168" s="23" t="s">
        <v>279</v>
      </c>
      <c r="F168" s="23" t="s">
        <v>49</v>
      </c>
    </row>
    <row r="169" spans="1:10" ht="36">
      <c r="A169" s="27">
        <f>HYPERLINK("http://www.westlaw.com/Find/Default.wl?rs=dfa1.0&amp;vr=2.0&amp;DB=6538&amp;FindType=Y&amp;SerialNum=2002579186",73)</f>
        <v>73</v>
      </c>
      <c r="B169" s="21" t="s">
        <v>570</v>
      </c>
      <c r="C169" s="21" t="s">
        <v>571</v>
      </c>
      <c r="D169" s="23" t="s">
        <v>279</v>
      </c>
      <c r="F169" s="23" t="s">
        <v>49</v>
      </c>
    </row>
    <row r="170" spans="1:10" ht="36">
      <c r="A170" s="27">
        <f>HYPERLINK("http://www.westlaw.com/Find/Default.wl?rs=dfa1.0&amp;vr=2.0&amp;DB=6538&amp;FindType=Y&amp;SerialNum=2002321534",77)</f>
        <v>77</v>
      </c>
      <c r="B170" s="21" t="s">
        <v>572</v>
      </c>
      <c r="C170" s="21" t="s">
        <v>573</v>
      </c>
      <c r="D170" s="23" t="s">
        <v>279</v>
      </c>
      <c r="F170" s="23" t="s">
        <v>49</v>
      </c>
    </row>
    <row r="171" spans="1:10" ht="36">
      <c r="A171" s="27">
        <f>HYPERLINK("http://www.westlaw.com/Find/Default.wl?rs=dfa1.0&amp;vr=2.0&amp;DB=6538&amp;FindType=Y&amp;SerialNum=2002251433",92)</f>
        <v>92</v>
      </c>
      <c r="B171" s="21" t="s">
        <v>574</v>
      </c>
      <c r="C171" s="21" t="s">
        <v>575</v>
      </c>
      <c r="D171" s="23" t="s">
        <v>279</v>
      </c>
      <c r="F171" s="23" t="s">
        <v>49</v>
      </c>
    </row>
    <row r="172" spans="1:10" ht="36">
      <c r="A172" s="27">
        <f>HYPERLINK("http://www.westlaw.com/Find/Default.wl?rs=dfa1.0&amp;vr=2.0&amp;DB=6538&amp;FindType=Y&amp;SerialNum=2002251432",93)</f>
        <v>93</v>
      </c>
      <c r="B172" s="21" t="s">
        <v>576</v>
      </c>
      <c r="C172" s="21" t="s">
        <v>577</v>
      </c>
      <c r="D172" s="23" t="s">
        <v>279</v>
      </c>
      <c r="F172" s="23" t="s">
        <v>49</v>
      </c>
    </row>
    <row r="173" spans="1:10" ht="36">
      <c r="A173" s="27">
        <f>HYPERLINK("http://www.westlaw.com/Find/Default.wl?rs=dfa1.0&amp;vr=2.0&amp;DB=6538&amp;FindType=Y&amp;SerialNum=2002210937",105)</f>
        <v>105</v>
      </c>
      <c r="B173" s="21" t="s">
        <v>578</v>
      </c>
      <c r="C173" s="21" t="s">
        <v>579</v>
      </c>
      <c r="D173" s="23" t="s">
        <v>279</v>
      </c>
      <c r="F173" s="23" t="s">
        <v>49</v>
      </c>
    </row>
    <row r="174" spans="1:10" ht="36">
      <c r="A174" s="27">
        <f>HYPERLINK("http://www.westlaw.com/Find/Default.wl?rs=dfa1.0&amp;vr=2.0&amp;DB=6538&amp;FindType=Y&amp;SerialNum=2002203393",106)</f>
        <v>106</v>
      </c>
      <c r="B174" s="21" t="s">
        <v>580</v>
      </c>
      <c r="C174" s="21" t="s">
        <v>581</v>
      </c>
      <c r="D174" s="23" t="s">
        <v>279</v>
      </c>
      <c r="F174" s="23" t="s">
        <v>49</v>
      </c>
    </row>
    <row r="175" spans="1:10" ht="36">
      <c r="A175" s="27">
        <f>HYPERLINK("http://www.westlaw.com/Find/Default.wl?rs=dfa1.0&amp;vr=2.0&amp;DB=6538&amp;FindType=Y&amp;SerialNum=2002204350",107)</f>
        <v>107</v>
      </c>
      <c r="B175" s="21" t="s">
        <v>582</v>
      </c>
      <c r="C175" s="21" t="s">
        <v>583</v>
      </c>
      <c r="D175" s="23" t="s">
        <v>279</v>
      </c>
      <c r="F175" s="23" t="s">
        <v>49</v>
      </c>
    </row>
    <row r="176" spans="1:10" ht="36">
      <c r="A176" s="27">
        <f>HYPERLINK("http://www.westlaw.com/Find/Default.wl?rs=dfa1.0&amp;vr=2.0&amp;DB=6538&amp;FindType=Y&amp;SerialNum=2002201308",108)</f>
        <v>108</v>
      </c>
      <c r="B176" s="21" t="s">
        <v>584</v>
      </c>
      <c r="C176" s="21" t="s">
        <v>585</v>
      </c>
      <c r="D176" s="23" t="s">
        <v>279</v>
      </c>
      <c r="F176" s="23" t="s">
        <v>49</v>
      </c>
    </row>
    <row r="177" spans="1:10" ht="36">
      <c r="A177" s="27">
        <f>HYPERLINK("http://www.westlaw.com/Find/Default.wl?rs=dfa1.0&amp;vr=2.0&amp;DB=6538&amp;FindType=Y&amp;SerialNum=2002196438",110)</f>
        <v>110</v>
      </c>
      <c r="B177" s="21" t="s">
        <v>586</v>
      </c>
      <c r="C177" s="21" t="s">
        <v>587</v>
      </c>
      <c r="D177" s="23" t="s">
        <v>279</v>
      </c>
      <c r="F177" s="23" t="s">
        <v>49</v>
      </c>
    </row>
    <row r="178" spans="1:10" ht="36">
      <c r="A178" s="27">
        <f>HYPERLINK("http://www.westlaw.com/Find/Default.wl?rs=dfa1.0&amp;vr=2.0&amp;DB=6538&amp;FindType=Y&amp;SerialNum=2002109543",135)</f>
        <v>135</v>
      </c>
      <c r="B178" s="21" t="s">
        <v>588</v>
      </c>
      <c r="C178" s="21" t="s">
        <v>589</v>
      </c>
      <c r="D178" s="23" t="s">
        <v>279</v>
      </c>
      <c r="F178" s="23" t="s">
        <v>49</v>
      </c>
    </row>
    <row r="179" spans="1:10" ht="36">
      <c r="A179" s="27">
        <f>HYPERLINK("http://www.westlaw.com/Find/Default.wl?rs=dfa1.0&amp;vr=2.0&amp;DB=6538&amp;FindType=Y&amp;SerialNum=2002179330",136)</f>
        <v>136</v>
      </c>
      <c r="B179" s="21" t="s">
        <v>590</v>
      </c>
      <c r="C179" s="21" t="s">
        <v>591</v>
      </c>
      <c r="D179" s="23" t="s">
        <v>279</v>
      </c>
      <c r="E179" s="23"/>
      <c r="F179" s="23" t="s">
        <v>49</v>
      </c>
      <c r="J179" s="23"/>
    </row>
    <row r="180" spans="1:10" ht="48">
      <c r="A180" s="27">
        <f>HYPERLINK("http://www.westlaw.com/Find/Default.wl?rs=dfa1.0&amp;vr=2.0&amp;DB=6538&amp;FindType=Y&amp;SerialNum=2002103383",137)</f>
        <v>137</v>
      </c>
      <c r="B180" s="21" t="s">
        <v>592</v>
      </c>
      <c r="C180" s="21" t="s">
        <v>593</v>
      </c>
      <c r="D180" s="23" t="s">
        <v>279</v>
      </c>
      <c r="E180" s="23"/>
      <c r="F180" s="23" t="s">
        <v>49</v>
      </c>
      <c r="J180" s="23"/>
    </row>
    <row r="181" spans="1:10" ht="36">
      <c r="A181" s="27">
        <f>HYPERLINK("http://www.westlaw.com/Find/Default.wl?rs=dfa1.0&amp;vr=2.0&amp;DB=6538&amp;FindType=Y&amp;SerialNum=2002103384",138)</f>
        <v>138</v>
      </c>
      <c r="B181" s="21" t="s">
        <v>594</v>
      </c>
      <c r="C181" s="21" t="s">
        <v>595</v>
      </c>
      <c r="D181" s="23" t="s">
        <v>279</v>
      </c>
      <c r="E181" s="34"/>
      <c r="F181" s="23" t="s">
        <v>49</v>
      </c>
    </row>
    <row r="182" spans="1:10" ht="36">
      <c r="A182" s="27">
        <f>HYPERLINK("http://www.westlaw.com/Find/Default.wl?rs=dfa1.0&amp;vr=2.0&amp;DB=6538&amp;FindType=Y&amp;SerialNum=2002104751",139)</f>
        <v>139</v>
      </c>
      <c r="B182" s="21" t="s">
        <v>596</v>
      </c>
      <c r="C182" s="21" t="s">
        <v>597</v>
      </c>
      <c r="D182" s="23" t="s">
        <v>279</v>
      </c>
      <c r="E182" s="23"/>
      <c r="F182" s="23" t="s">
        <v>49</v>
      </c>
      <c r="J182" s="23"/>
    </row>
    <row r="183" spans="1:10" ht="36">
      <c r="A183" s="27">
        <f>HYPERLINK("http://www.westlaw.com/Find/Default.wl?rs=dfa1.0&amp;vr=2.0&amp;DB=6538&amp;FindType=Y&amp;SerialNum=2002103381",140)</f>
        <v>140</v>
      </c>
      <c r="B183" s="21" t="s">
        <v>598</v>
      </c>
      <c r="C183" s="21" t="s">
        <v>599</v>
      </c>
      <c r="D183" s="23" t="s">
        <v>279</v>
      </c>
      <c r="F183" s="23" t="s">
        <v>49</v>
      </c>
    </row>
    <row r="184" spans="1:10" ht="36">
      <c r="A184" s="27">
        <f>HYPERLINK("http://www.westlaw.com/Find/Default.wl?rs=dfa1.0&amp;vr=2.0&amp;DB=6538&amp;FindType=Y&amp;SerialNum=2002103385",141)</f>
        <v>141</v>
      </c>
      <c r="B184" s="21" t="s">
        <v>600</v>
      </c>
      <c r="C184" s="21" t="s">
        <v>601</v>
      </c>
      <c r="D184" s="23" t="s">
        <v>279</v>
      </c>
      <c r="F184" s="23" t="s">
        <v>49</v>
      </c>
    </row>
    <row r="185" spans="1:10" ht="48">
      <c r="A185" s="27">
        <f>HYPERLINK("http://www.westlaw.com/Find/Default.wl?rs=dfa1.0&amp;vr=2.0&amp;DB=6538&amp;FindType=Y&amp;SerialNum=2002096081",142)</f>
        <v>142</v>
      </c>
      <c r="B185" s="21" t="s">
        <v>602</v>
      </c>
      <c r="C185" s="21" t="s">
        <v>603</v>
      </c>
      <c r="D185" s="23" t="s">
        <v>279</v>
      </c>
      <c r="F185" s="23" t="s">
        <v>49</v>
      </c>
    </row>
    <row r="186" spans="1:10" ht="36">
      <c r="A186" s="27">
        <f>HYPERLINK("http://www.westlaw.com/Find/Default.wl?rs=dfa1.0&amp;vr=2.0&amp;DB=6538&amp;FindType=Y&amp;SerialNum=2002096086",143)</f>
        <v>143</v>
      </c>
      <c r="B186" s="21" t="s">
        <v>226</v>
      </c>
      <c r="C186" s="21" t="s">
        <v>604</v>
      </c>
      <c r="D186" s="23" t="s">
        <v>279</v>
      </c>
      <c r="F186" s="23" t="s">
        <v>49</v>
      </c>
    </row>
    <row r="187" spans="1:10" ht="36">
      <c r="A187" s="27">
        <f>HYPERLINK("http://www.westlaw.com/Find/Default.wl?rs=dfa1.0&amp;vr=2.0&amp;DB=6538&amp;FindType=Y&amp;SerialNum=2002120881",144)</f>
        <v>144</v>
      </c>
      <c r="B187" s="21" t="s">
        <v>605</v>
      </c>
      <c r="C187" s="21" t="s">
        <v>606</v>
      </c>
      <c r="D187" s="23" t="s">
        <v>279</v>
      </c>
      <c r="F187" s="23" t="s">
        <v>49</v>
      </c>
    </row>
    <row r="188" spans="1:10" ht="36">
      <c r="A188" s="27">
        <f>HYPERLINK("http://www.westlaw.com/Find/Default.wl?rs=dfa1.0&amp;vr=2.0&amp;DB=6538&amp;FindType=Y&amp;SerialNum=2002090106",145)</f>
        <v>145</v>
      </c>
      <c r="B188" s="21" t="s">
        <v>607</v>
      </c>
      <c r="C188" s="21" t="s">
        <v>608</v>
      </c>
      <c r="D188" s="23" t="s">
        <v>279</v>
      </c>
      <c r="F188" s="23" t="s">
        <v>49</v>
      </c>
    </row>
    <row r="189" spans="1:10" ht="36">
      <c r="A189" s="27">
        <f>HYPERLINK("http://www.westlaw.com/Find/Default.wl?rs=dfa1.0&amp;vr=2.0&amp;DB=6538&amp;FindType=Y&amp;SerialNum=2002120827",147)</f>
        <v>147</v>
      </c>
      <c r="B189" s="21" t="s">
        <v>609</v>
      </c>
      <c r="C189" s="21" t="s">
        <v>610</v>
      </c>
      <c r="D189" s="23" t="s">
        <v>279</v>
      </c>
      <c r="F189" s="23" t="s">
        <v>49</v>
      </c>
    </row>
    <row r="190" spans="1:10">
      <c r="A190" s="27"/>
      <c r="B190" s="21"/>
      <c r="C190" s="33" t="s">
        <v>95</v>
      </c>
      <c r="D190" s="32">
        <f>COUNTA(D148:D189)</f>
        <v>42</v>
      </c>
      <c r="F190" s="23"/>
    </row>
    <row r="191" spans="1:10">
      <c r="A191" s="27"/>
      <c r="B191" s="21"/>
      <c r="C191" s="21"/>
      <c r="D191" s="23"/>
      <c r="F191" s="23"/>
    </row>
    <row r="192" spans="1:10">
      <c r="A192" s="27"/>
      <c r="B192" s="29" t="s">
        <v>165</v>
      </c>
      <c r="C192" s="21"/>
      <c r="D192" s="23"/>
      <c r="F192" s="23"/>
    </row>
    <row r="193" spans="1:10" ht="48">
      <c r="A193" s="27">
        <f>HYPERLINK("http://www.westlaw.com/Find/Default.wl?rs=dfa1.0&amp;vr=2.0&amp;DB=506&amp;FindType=Y&amp;SerialNum=2002523798",24)</f>
        <v>24</v>
      </c>
      <c r="B193" s="21" t="s">
        <v>611</v>
      </c>
      <c r="C193" s="21" t="s">
        <v>612</v>
      </c>
      <c r="D193" s="23"/>
      <c r="E193" s="23"/>
      <c r="F193" s="23" t="s">
        <v>78</v>
      </c>
      <c r="G193" s="23" t="s">
        <v>167</v>
      </c>
      <c r="H193" s="23" t="s">
        <v>100</v>
      </c>
      <c r="I193" s="23" t="s">
        <v>49</v>
      </c>
      <c r="J193" s="23"/>
    </row>
    <row r="194" spans="1:10" ht="36">
      <c r="A194" s="27">
        <f>HYPERLINK("http://www.westlaw.com/Find/Default.wl?rs=dfa1.0&amp;vr=2.0&amp;DB=506&amp;FindType=Y&amp;SerialNum=2002364505",63)</f>
        <v>63</v>
      </c>
      <c r="B194" s="21" t="s">
        <v>509</v>
      </c>
      <c r="C194" s="21" t="s">
        <v>510</v>
      </c>
      <c r="D194" s="23" t="s">
        <v>111</v>
      </c>
      <c r="E194" s="23"/>
      <c r="F194" s="23" t="s">
        <v>78</v>
      </c>
      <c r="G194" s="23" t="s">
        <v>167</v>
      </c>
      <c r="H194" s="23" t="s">
        <v>511</v>
      </c>
      <c r="I194" s="23" t="s">
        <v>49</v>
      </c>
      <c r="J194" s="23"/>
    </row>
    <row r="195" spans="1:10" ht="84">
      <c r="A195" s="27">
        <f>HYPERLINK("http://www.westlaw.com/Find/Default.wl?rs=dfa1.0&amp;vr=2.0&amp;DB=506&amp;FindType=Y&amp;SerialNum=2001591802",155)</f>
        <v>155</v>
      </c>
      <c r="B195" s="21" t="s">
        <v>208</v>
      </c>
      <c r="C195" s="21" t="s">
        <v>349</v>
      </c>
      <c r="D195" s="23" t="s">
        <v>100</v>
      </c>
      <c r="E195" s="23"/>
      <c r="F195" s="23" t="s">
        <v>78</v>
      </c>
      <c r="G195" s="23" t="s">
        <v>167</v>
      </c>
      <c r="H195" s="23" t="s">
        <v>47</v>
      </c>
      <c r="I195" s="23" t="s">
        <v>49</v>
      </c>
      <c r="J195" s="23" t="s">
        <v>350</v>
      </c>
    </row>
    <row r="196" spans="1:10" ht="48">
      <c r="A196" s="27">
        <f>HYPERLINK("http://www.westlaw.com/Find/Default.wl?rs=dfa1.0&amp;vr=2.0&amp;DB=4637&amp;FindType=Y&amp;SerialNum=2002634972",164)</f>
        <v>164</v>
      </c>
      <c r="B196" s="21" t="s">
        <v>613</v>
      </c>
      <c r="C196" s="21" t="s">
        <v>614</v>
      </c>
      <c r="F196" s="23" t="s">
        <v>78</v>
      </c>
      <c r="G196" s="23" t="s">
        <v>167</v>
      </c>
      <c r="H196" s="23" t="s">
        <v>100</v>
      </c>
      <c r="I196" s="23" t="s">
        <v>49</v>
      </c>
    </row>
    <row r="197" spans="1:10" ht="60">
      <c r="A197" s="27">
        <f>HYPERLINK("http://www.westlaw.com/Find/Default.wl?rs=dfa1.0&amp;vr=2.0&amp;DB=863&amp;FindType=Y&amp;SerialNum=2002569323",165)</f>
        <v>165</v>
      </c>
      <c r="B197" s="21" t="s">
        <v>615</v>
      </c>
      <c r="C197" s="21" t="s">
        <v>616</v>
      </c>
      <c r="F197" s="23" t="s">
        <v>78</v>
      </c>
      <c r="G197" s="23" t="s">
        <v>79</v>
      </c>
      <c r="H197" s="23" t="s">
        <v>80</v>
      </c>
      <c r="I197" s="23" t="s">
        <v>49</v>
      </c>
    </row>
    <row r="198" spans="1:10" ht="36">
      <c r="A198" s="27">
        <f>HYPERLINK("http://www.westlaw.com/Find/Default.wl?rs=dfa1.0&amp;vr=2.0&amp;DB=4637&amp;FindType=Y&amp;SerialNum=2002293673",166)</f>
        <v>166</v>
      </c>
      <c r="B198" s="21" t="s">
        <v>617</v>
      </c>
      <c r="C198" s="21" t="s">
        <v>618</v>
      </c>
      <c r="F198" s="23" t="s">
        <v>78</v>
      </c>
      <c r="G198" s="23" t="s">
        <v>167</v>
      </c>
      <c r="H198" s="23" t="s">
        <v>47</v>
      </c>
      <c r="I198" s="23" t="s">
        <v>49</v>
      </c>
    </row>
    <row r="199" spans="1:10" ht="48">
      <c r="A199" s="27">
        <f>HYPERLINK("http://www.westlaw.com/Find/Default.wl?rs=dfa1.0&amp;vr=2.0&amp;DB=4637&amp;FindType=Y&amp;SerialNum=2002120957",167)</f>
        <v>167</v>
      </c>
      <c r="B199" s="21" t="s">
        <v>619</v>
      </c>
      <c r="C199" s="21" t="s">
        <v>620</v>
      </c>
      <c r="F199" s="23" t="s">
        <v>78</v>
      </c>
      <c r="G199" s="23" t="s">
        <v>167</v>
      </c>
      <c r="H199" s="23" t="s">
        <v>100</v>
      </c>
      <c r="I199" s="23" t="s">
        <v>49</v>
      </c>
    </row>
    <row r="200" spans="1:10" ht="36">
      <c r="A200" s="27">
        <f>HYPERLINK("http://www.westlaw.com/Find/Default.wl?rs=dfa1.0&amp;vr=2.0&amp;DB=4637&amp;FindType=Y&amp;SerialNum=2002070873",168)</f>
        <v>168</v>
      </c>
      <c r="B200" s="21" t="s">
        <v>621</v>
      </c>
      <c r="C200" s="21" t="s">
        <v>622</v>
      </c>
      <c r="F200" s="23" t="s">
        <v>78</v>
      </c>
      <c r="G200" s="23" t="s">
        <v>167</v>
      </c>
      <c r="H200" s="23" t="s">
        <v>100</v>
      </c>
      <c r="I200" s="23" t="s">
        <v>49</v>
      </c>
    </row>
    <row r="201" spans="1:10" ht="48">
      <c r="A201" s="27">
        <f>HYPERLINK("http://www.westlaw.com/Find/Default.wl?rs=dfa1.0&amp;vr=2.0&amp;FindType=Y&amp;SerialNum=2001480011",169)</f>
        <v>169</v>
      </c>
      <c r="B201" s="21" t="s">
        <v>623</v>
      </c>
      <c r="C201" s="21" t="s">
        <v>624</v>
      </c>
      <c r="F201" s="23" t="s">
        <v>78</v>
      </c>
      <c r="G201" s="23" t="s">
        <v>79</v>
      </c>
      <c r="H201" s="23" t="s">
        <v>625</v>
      </c>
      <c r="I201" s="23" t="s">
        <v>49</v>
      </c>
    </row>
    <row r="202" spans="1:10" ht="48">
      <c r="A202" s="27">
        <f>HYPERLINK("http://www.westlaw.com/Find/Default.wl?rs=dfa1.0&amp;vr=2.0&amp;FindType=Y&amp;SerialNum=2001902114",170)</f>
        <v>170</v>
      </c>
      <c r="B202" s="21" t="s">
        <v>626</v>
      </c>
      <c r="C202" s="21" t="s">
        <v>627</v>
      </c>
      <c r="F202" s="23" t="s">
        <v>78</v>
      </c>
      <c r="G202" s="23" t="s">
        <v>79</v>
      </c>
      <c r="H202" s="23" t="s">
        <v>79</v>
      </c>
      <c r="I202" s="23" t="s">
        <v>49</v>
      </c>
    </row>
    <row r="203" spans="1:10" ht="15" customHeight="1">
      <c r="E203" s="35" t="s">
        <v>95</v>
      </c>
      <c r="F203" s="35">
        <f>COUNTA(F193:F202)</f>
        <v>10</v>
      </c>
    </row>
    <row r="204" spans="1:10" ht="15" customHeight="1"/>
    <row r="205" spans="1:10" ht="15" customHeight="1"/>
    <row r="206" spans="1:10" ht="15" customHeight="1"/>
    <row r="207" spans="1:10" ht="15" customHeight="1"/>
    <row r="208" spans="1:1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3"/>
  <sheetViews>
    <sheetView zoomScale="70" zoomScaleNormal="70" zoomScalePageLayoutView="70" workbookViewId="0"/>
  </sheetViews>
  <sheetFormatPr baseColWidth="10" defaultColWidth="8.83203125" defaultRowHeight="14" x14ac:dyDescent="0"/>
  <cols>
    <col min="2" max="2" width="21.83203125" customWidth="1"/>
    <col min="3" max="3" width="30.6640625" customWidth="1"/>
  </cols>
  <sheetData>
    <row r="1" spans="1:5" s="13" customFormat="1" ht="15" customHeight="1">
      <c r="A1" s="116">
        <v>2002</v>
      </c>
      <c r="B1" s="39">
        <v>37536</v>
      </c>
      <c r="C1" s="39">
        <v>37899</v>
      </c>
      <c r="D1" s="30"/>
      <c r="E1" s="30"/>
    </row>
    <row r="2" spans="1:5" s="13" customFormat="1" ht="15" customHeight="1">
      <c r="A2" s="12"/>
      <c r="B2" s="12"/>
      <c r="C2" s="12"/>
    </row>
    <row r="3" spans="1:5" s="13" customFormat="1">
      <c r="A3" s="12"/>
      <c r="B3" s="14" t="s">
        <v>24</v>
      </c>
      <c r="C3" s="15"/>
    </row>
    <row r="4" spans="1:5" s="13" customFormat="1">
      <c r="A4" s="12"/>
      <c r="B4" s="16" t="s">
        <v>25</v>
      </c>
      <c r="C4" s="15">
        <f>D44</f>
        <v>22</v>
      </c>
    </row>
    <row r="5" spans="1:5" s="13" customFormat="1" ht="25">
      <c r="A5" s="12"/>
      <c r="B5" s="16" t="s">
        <v>26</v>
      </c>
      <c r="C5" s="15">
        <f>D41</f>
        <v>21</v>
      </c>
    </row>
    <row r="6" spans="1:5" s="13" customFormat="1" ht="42" customHeight="1">
      <c r="A6" s="12"/>
      <c r="B6" s="16" t="s">
        <v>27</v>
      </c>
      <c r="C6" s="15">
        <v>0</v>
      </c>
    </row>
    <row r="7" spans="1:5" s="13" customFormat="1">
      <c r="A7" s="12"/>
      <c r="B7" s="16" t="s">
        <v>28</v>
      </c>
      <c r="C7" s="15">
        <v>0</v>
      </c>
    </row>
    <row r="8" spans="1:5" s="13" customFormat="1" ht="30" customHeight="1">
      <c r="A8" s="12"/>
      <c r="B8" s="16" t="s">
        <v>29</v>
      </c>
      <c r="C8" s="15">
        <f>D48</f>
        <v>2</v>
      </c>
    </row>
    <row r="9" spans="1:5" s="13" customFormat="1">
      <c r="A9" s="12"/>
      <c r="B9" s="16" t="s">
        <v>30</v>
      </c>
      <c r="C9" s="15">
        <v>0</v>
      </c>
    </row>
    <row r="10" spans="1:5" s="13" customFormat="1" ht="32.25" customHeight="1">
      <c r="A10" s="12"/>
      <c r="B10" s="16" t="s">
        <v>14</v>
      </c>
      <c r="C10" s="15">
        <v>0</v>
      </c>
    </row>
    <row r="11" spans="1:5" s="13" customFormat="1">
      <c r="A11" s="12"/>
      <c r="B11" s="16" t="s">
        <v>15</v>
      </c>
      <c r="C11" s="15">
        <v>0</v>
      </c>
    </row>
    <row r="12" spans="1:5" s="13" customFormat="1" ht="25">
      <c r="A12" s="12"/>
      <c r="B12" s="16" t="s">
        <v>31</v>
      </c>
      <c r="C12" s="15">
        <f>D167</f>
        <v>117</v>
      </c>
    </row>
    <row r="13" spans="1:5" s="13" customFormat="1" ht="25">
      <c r="A13" s="12"/>
      <c r="B13" s="16" t="s">
        <v>32</v>
      </c>
      <c r="C13" s="15">
        <v>0</v>
      </c>
    </row>
    <row r="14" spans="1:5" s="13" customFormat="1" ht="25">
      <c r="A14" s="12"/>
      <c r="B14" s="16" t="s">
        <v>33</v>
      </c>
      <c r="C14" s="15">
        <f>D225</f>
        <v>56</v>
      </c>
    </row>
    <row r="15" spans="1:5" s="13" customFormat="1">
      <c r="A15" s="12"/>
      <c r="B15" s="16" t="s">
        <v>4</v>
      </c>
      <c r="C15" s="17">
        <f>C4+C6+C7+C8+C9+C10+C11</f>
        <v>24</v>
      </c>
    </row>
    <row r="16" spans="1:5" s="13" customFormat="1" ht="25">
      <c r="A16" s="12"/>
      <c r="B16" s="16" t="s">
        <v>34</v>
      </c>
      <c r="C16" s="15">
        <f>F233</f>
        <v>4</v>
      </c>
    </row>
    <row r="19" spans="1:10" ht="42">
      <c r="A19" s="101" t="s">
        <v>35</v>
      </c>
      <c r="B19" s="102" t="s">
        <v>36</v>
      </c>
      <c r="C19" s="102" t="s">
        <v>37</v>
      </c>
      <c r="D19" s="101" t="s">
        <v>38</v>
      </c>
      <c r="E19" s="101" t="s">
        <v>39</v>
      </c>
      <c r="F19" s="101" t="s">
        <v>40</v>
      </c>
      <c r="G19" s="101" t="s">
        <v>41</v>
      </c>
      <c r="H19" s="101" t="s">
        <v>42</v>
      </c>
      <c r="I19" s="101" t="s">
        <v>1466</v>
      </c>
      <c r="J19" s="102" t="s">
        <v>5808</v>
      </c>
    </row>
    <row r="20" spans="1:10" ht="42">
      <c r="A20" s="103">
        <v>1</v>
      </c>
      <c r="B20" s="104" t="s">
        <v>5809</v>
      </c>
      <c r="C20" s="105" t="s">
        <v>5810</v>
      </c>
      <c r="D20" s="106" t="s">
        <v>47</v>
      </c>
      <c r="E20" s="106" t="s">
        <v>48</v>
      </c>
      <c r="F20" s="106" t="s">
        <v>49</v>
      </c>
      <c r="G20" s="106"/>
      <c r="H20" s="106"/>
      <c r="I20" s="106"/>
      <c r="J20" s="105"/>
    </row>
    <row r="21" spans="1:10" ht="28">
      <c r="A21" s="107">
        <v>188</v>
      </c>
      <c r="B21" s="108" t="s">
        <v>303</v>
      </c>
      <c r="C21" s="109" t="s">
        <v>5811</v>
      </c>
      <c r="D21" s="110" t="s">
        <v>1469</v>
      </c>
      <c r="E21" s="110" t="s">
        <v>5812</v>
      </c>
      <c r="F21" s="110"/>
      <c r="G21" s="110"/>
      <c r="H21" s="110"/>
      <c r="I21" s="110"/>
      <c r="J21" s="109"/>
    </row>
    <row r="22" spans="1:10" ht="42">
      <c r="A22" s="103">
        <v>3</v>
      </c>
      <c r="B22" s="104" t="s">
        <v>5813</v>
      </c>
      <c r="C22" s="105" t="s">
        <v>5814</v>
      </c>
      <c r="D22" s="106" t="s">
        <v>47</v>
      </c>
      <c r="E22" s="106" t="s">
        <v>48</v>
      </c>
      <c r="F22" s="106" t="s">
        <v>49</v>
      </c>
      <c r="G22" s="106"/>
      <c r="H22" s="106"/>
      <c r="I22" s="106"/>
      <c r="J22" s="105"/>
    </row>
    <row r="23" spans="1:10" ht="42">
      <c r="A23" s="103">
        <v>4</v>
      </c>
      <c r="B23" s="104" t="s">
        <v>5815</v>
      </c>
      <c r="C23" s="105" t="s">
        <v>5816</v>
      </c>
      <c r="D23" s="106" t="s">
        <v>47</v>
      </c>
      <c r="E23" s="106" t="s">
        <v>48</v>
      </c>
      <c r="F23" s="106" t="s">
        <v>49</v>
      </c>
      <c r="G23" s="106"/>
      <c r="H23" s="106"/>
      <c r="I23" s="106"/>
      <c r="J23" s="105"/>
    </row>
    <row r="24" spans="1:10" ht="28">
      <c r="A24" s="103">
        <v>10</v>
      </c>
      <c r="B24" s="104" t="s">
        <v>5817</v>
      </c>
      <c r="C24" s="105" t="s">
        <v>5818</v>
      </c>
      <c r="D24" s="106" t="s">
        <v>47</v>
      </c>
      <c r="E24" s="106" t="s">
        <v>48</v>
      </c>
      <c r="F24" s="106" t="s">
        <v>49</v>
      </c>
      <c r="G24" s="106"/>
      <c r="H24" s="106"/>
      <c r="I24" s="106"/>
      <c r="J24" s="105"/>
    </row>
    <row r="25" spans="1:10" ht="42">
      <c r="A25" s="103">
        <v>13</v>
      </c>
      <c r="B25" s="104" t="s">
        <v>5819</v>
      </c>
      <c r="C25" s="105" t="s">
        <v>5820</v>
      </c>
      <c r="D25" s="106" t="s">
        <v>47</v>
      </c>
      <c r="E25" s="106" t="s">
        <v>48</v>
      </c>
      <c r="F25" s="106" t="s">
        <v>49</v>
      </c>
      <c r="G25" s="106"/>
      <c r="H25" s="106"/>
      <c r="I25" s="106"/>
      <c r="J25" s="105"/>
    </row>
    <row r="26" spans="1:10" ht="28">
      <c r="A26" s="103">
        <v>24</v>
      </c>
      <c r="B26" s="104" t="s">
        <v>5821</v>
      </c>
      <c r="C26" s="105" t="s">
        <v>5822</v>
      </c>
      <c r="D26" s="106" t="s">
        <v>47</v>
      </c>
      <c r="E26" s="106" t="s">
        <v>48</v>
      </c>
      <c r="F26" s="106" t="s">
        <v>49</v>
      </c>
      <c r="G26" s="106"/>
      <c r="H26" s="106"/>
      <c r="I26" s="106"/>
      <c r="J26" s="105"/>
    </row>
    <row r="27" spans="1:10" ht="28">
      <c r="A27" s="103">
        <v>31</v>
      </c>
      <c r="B27" s="104" t="s">
        <v>659</v>
      </c>
      <c r="C27" s="105" t="s">
        <v>5823</v>
      </c>
      <c r="D27" s="106" t="s">
        <v>47</v>
      </c>
      <c r="E27" s="106" t="s">
        <v>48</v>
      </c>
      <c r="F27" s="106" t="s">
        <v>49</v>
      </c>
      <c r="G27" s="106"/>
      <c r="H27" s="106"/>
      <c r="I27" s="106"/>
      <c r="J27" s="105"/>
    </row>
    <row r="28" spans="1:10" ht="28">
      <c r="A28" s="103">
        <v>32</v>
      </c>
      <c r="B28" s="104" t="s">
        <v>5824</v>
      </c>
      <c r="C28" s="105" t="s">
        <v>5825</v>
      </c>
      <c r="D28" s="106" t="s">
        <v>47</v>
      </c>
      <c r="E28" s="106" t="s">
        <v>48</v>
      </c>
      <c r="F28" s="106" t="s">
        <v>49</v>
      </c>
      <c r="G28" s="106"/>
      <c r="H28" s="106"/>
      <c r="I28" s="106"/>
      <c r="J28" s="105"/>
    </row>
    <row r="29" spans="1:10" ht="28">
      <c r="A29" s="103">
        <v>36</v>
      </c>
      <c r="B29" s="104" t="s">
        <v>5826</v>
      </c>
      <c r="C29" s="105" t="s">
        <v>5827</v>
      </c>
      <c r="D29" s="106" t="s">
        <v>47</v>
      </c>
      <c r="E29" s="106" t="s">
        <v>48</v>
      </c>
      <c r="F29" s="106" t="s">
        <v>49</v>
      </c>
      <c r="G29" s="106"/>
      <c r="H29" s="106"/>
      <c r="I29" s="106"/>
      <c r="J29" s="105"/>
    </row>
    <row r="30" spans="1:10" ht="28">
      <c r="A30" s="103">
        <v>40</v>
      </c>
      <c r="B30" s="104" t="s">
        <v>5828</v>
      </c>
      <c r="C30" s="105" t="s">
        <v>5829</v>
      </c>
      <c r="D30" s="106" t="s">
        <v>47</v>
      </c>
      <c r="E30" s="106" t="s">
        <v>48</v>
      </c>
      <c r="F30" s="106" t="s">
        <v>49</v>
      </c>
      <c r="G30" s="106"/>
      <c r="H30" s="106"/>
      <c r="I30" s="106"/>
      <c r="J30" s="105"/>
    </row>
    <row r="31" spans="1:10" ht="28">
      <c r="A31" s="103">
        <v>52</v>
      </c>
      <c r="B31" s="104" t="s">
        <v>5832</v>
      </c>
      <c r="C31" s="105" t="s">
        <v>5833</v>
      </c>
      <c r="D31" s="106" t="s">
        <v>47</v>
      </c>
      <c r="E31" s="106" t="s">
        <v>48</v>
      </c>
      <c r="F31" s="106" t="s">
        <v>49</v>
      </c>
      <c r="G31" s="106"/>
      <c r="H31" s="106"/>
      <c r="I31" s="106"/>
      <c r="J31" s="105"/>
    </row>
    <row r="32" spans="1:10" ht="28">
      <c r="A32" s="103">
        <v>53</v>
      </c>
      <c r="B32" s="104" t="s">
        <v>5834</v>
      </c>
      <c r="C32" s="105" t="s">
        <v>5835</v>
      </c>
      <c r="D32" s="106" t="s">
        <v>47</v>
      </c>
      <c r="E32" s="106" t="s">
        <v>48</v>
      </c>
      <c r="F32" s="106" t="s">
        <v>49</v>
      </c>
      <c r="G32" s="106"/>
      <c r="H32" s="106"/>
      <c r="I32" s="106"/>
      <c r="J32" s="105"/>
    </row>
    <row r="33" spans="1:10" ht="56">
      <c r="A33" s="103">
        <v>69</v>
      </c>
      <c r="B33" s="104" t="s">
        <v>5836</v>
      </c>
      <c r="C33" s="105" t="s">
        <v>5837</v>
      </c>
      <c r="D33" s="106" t="s">
        <v>47</v>
      </c>
      <c r="E33" s="106" t="s">
        <v>48</v>
      </c>
      <c r="F33" s="106" t="s">
        <v>49</v>
      </c>
      <c r="G33" s="106"/>
      <c r="H33" s="106"/>
      <c r="I33" s="106"/>
      <c r="J33" s="105"/>
    </row>
    <row r="34" spans="1:10" ht="28">
      <c r="A34" s="103">
        <v>127</v>
      </c>
      <c r="B34" s="104" t="s">
        <v>5838</v>
      </c>
      <c r="C34" s="105" t="s">
        <v>5839</v>
      </c>
      <c r="D34" s="111" t="s">
        <v>47</v>
      </c>
      <c r="E34" s="111" t="s">
        <v>48</v>
      </c>
      <c r="F34" s="111" t="s">
        <v>49</v>
      </c>
      <c r="G34" s="106"/>
      <c r="H34" s="106"/>
      <c r="I34" s="106"/>
      <c r="J34" s="105"/>
    </row>
    <row r="35" spans="1:10" ht="42">
      <c r="A35" s="103">
        <v>141</v>
      </c>
      <c r="B35" s="104" t="s">
        <v>4958</v>
      </c>
      <c r="C35" s="105" t="s">
        <v>5840</v>
      </c>
      <c r="D35" s="106" t="s">
        <v>47</v>
      </c>
      <c r="E35" s="106" t="s">
        <v>48</v>
      </c>
      <c r="F35" s="106" t="s">
        <v>49</v>
      </c>
      <c r="G35" s="106"/>
      <c r="H35" s="106"/>
      <c r="I35" s="106"/>
      <c r="J35" s="105"/>
    </row>
    <row r="36" spans="1:10" ht="42">
      <c r="A36" s="103">
        <v>165</v>
      </c>
      <c r="B36" s="104" t="s">
        <v>5841</v>
      </c>
      <c r="C36" s="105" t="s">
        <v>5842</v>
      </c>
      <c r="D36" s="106" t="s">
        <v>47</v>
      </c>
      <c r="E36" s="106" t="s">
        <v>48</v>
      </c>
      <c r="F36" s="106" t="s">
        <v>49</v>
      </c>
      <c r="G36" s="106"/>
      <c r="H36" s="106"/>
      <c r="I36" s="106"/>
      <c r="J36" s="105"/>
    </row>
    <row r="37" spans="1:10" ht="28">
      <c r="A37" s="103">
        <v>185</v>
      </c>
      <c r="B37" s="104" t="s">
        <v>5809</v>
      </c>
      <c r="C37" s="105" t="s">
        <v>5843</v>
      </c>
      <c r="D37" s="106" t="s">
        <v>47</v>
      </c>
      <c r="E37" s="106" t="s">
        <v>48</v>
      </c>
      <c r="F37" s="106" t="s">
        <v>49</v>
      </c>
      <c r="G37" s="106"/>
      <c r="H37" s="106"/>
      <c r="I37" s="106"/>
      <c r="J37" s="105"/>
    </row>
    <row r="38" spans="1:10" ht="42">
      <c r="A38" s="103">
        <v>193</v>
      </c>
      <c r="B38" s="104" t="s">
        <v>5844</v>
      </c>
      <c r="C38" s="105" t="s">
        <v>5845</v>
      </c>
      <c r="D38" s="106" t="s">
        <v>47</v>
      </c>
      <c r="E38" s="106" t="s">
        <v>48</v>
      </c>
      <c r="F38" s="106" t="s">
        <v>49</v>
      </c>
      <c r="G38" s="106"/>
      <c r="H38" s="106"/>
      <c r="I38" s="106"/>
      <c r="J38" s="105"/>
    </row>
    <row r="39" spans="1:10" ht="28">
      <c r="A39" s="103">
        <v>59</v>
      </c>
      <c r="B39" s="104" t="s">
        <v>5846</v>
      </c>
      <c r="C39" s="105" t="s">
        <v>5847</v>
      </c>
      <c r="D39" s="106" t="s">
        <v>47</v>
      </c>
      <c r="E39" s="106" t="s">
        <v>5481</v>
      </c>
      <c r="F39" s="106" t="s">
        <v>49</v>
      </c>
      <c r="G39" s="106"/>
      <c r="H39" s="106"/>
      <c r="I39" s="106"/>
      <c r="J39" s="105"/>
    </row>
    <row r="40" spans="1:10" ht="28">
      <c r="A40" s="103">
        <v>68</v>
      </c>
      <c r="B40" s="104" t="s">
        <v>5848</v>
      </c>
      <c r="C40" s="105" t="s">
        <v>5849</v>
      </c>
      <c r="D40" s="106" t="s">
        <v>47</v>
      </c>
      <c r="E40" s="106" t="s">
        <v>5481</v>
      </c>
      <c r="F40" s="106" t="s">
        <v>49</v>
      </c>
      <c r="G40" s="106"/>
      <c r="H40" s="106"/>
      <c r="I40" s="106"/>
      <c r="J40" s="105"/>
    </row>
    <row r="41" spans="1:10">
      <c r="A41" s="103"/>
      <c r="B41" s="104"/>
      <c r="C41" s="112" t="s">
        <v>95</v>
      </c>
      <c r="D41" s="113">
        <f>COUNTA(D20:D40)</f>
        <v>21</v>
      </c>
      <c r="E41" s="106"/>
      <c r="F41" s="106"/>
      <c r="G41" s="106"/>
      <c r="H41" s="106"/>
      <c r="I41" s="106"/>
      <c r="J41" s="105"/>
    </row>
    <row r="43" spans="1:10" s="50" customFormat="1" ht="42">
      <c r="A43" s="148">
        <v>50</v>
      </c>
      <c r="B43" s="149" t="s">
        <v>5830</v>
      </c>
      <c r="C43" s="150" t="s">
        <v>5831</v>
      </c>
      <c r="D43" s="151" t="s">
        <v>47</v>
      </c>
      <c r="E43" s="151"/>
      <c r="F43" s="151" t="s">
        <v>49</v>
      </c>
      <c r="G43" s="151"/>
      <c r="H43" s="151"/>
      <c r="I43" s="151"/>
      <c r="J43" s="152"/>
    </row>
    <row r="44" spans="1:10">
      <c r="A44" s="107"/>
      <c r="B44" s="108"/>
      <c r="C44" s="112" t="s">
        <v>95</v>
      </c>
      <c r="D44" s="113">
        <f>COUNTA(D43)+D41</f>
        <v>22</v>
      </c>
      <c r="E44" s="110"/>
      <c r="F44" s="110"/>
      <c r="G44" s="110"/>
      <c r="H44" s="110"/>
      <c r="I44" s="110"/>
      <c r="J44" s="109"/>
    </row>
    <row r="45" spans="1:10">
      <c r="A45" s="107"/>
      <c r="B45" s="108"/>
      <c r="C45" s="109"/>
      <c r="D45" s="110"/>
      <c r="E45" s="110"/>
      <c r="F45" s="110"/>
      <c r="G45" s="110"/>
      <c r="H45" s="110"/>
      <c r="I45" s="110"/>
      <c r="J45" s="109"/>
    </row>
    <row r="46" spans="1:10" ht="56">
      <c r="A46" s="103">
        <v>169</v>
      </c>
      <c r="B46" s="104" t="s">
        <v>5850</v>
      </c>
      <c r="C46" s="105" t="s">
        <v>5851</v>
      </c>
      <c r="D46" s="106" t="s">
        <v>79</v>
      </c>
      <c r="E46" s="106"/>
      <c r="F46" s="106" t="s">
        <v>78</v>
      </c>
      <c r="G46" s="106" t="s">
        <v>167</v>
      </c>
      <c r="H46" s="106" t="s">
        <v>79</v>
      </c>
      <c r="I46" s="106" t="s">
        <v>78</v>
      </c>
      <c r="J46" s="105"/>
    </row>
    <row r="47" spans="1:10" ht="42">
      <c r="A47" s="103">
        <v>56</v>
      </c>
      <c r="B47" s="104" t="s">
        <v>5852</v>
      </c>
      <c r="C47" s="105" t="s">
        <v>5853</v>
      </c>
      <c r="D47" s="106" t="s">
        <v>79</v>
      </c>
      <c r="E47" s="106"/>
      <c r="F47" s="106" t="s">
        <v>49</v>
      </c>
      <c r="G47" s="106"/>
      <c r="H47" s="106"/>
      <c r="I47" s="106"/>
      <c r="J47" s="105"/>
    </row>
    <row r="48" spans="1:10">
      <c r="A48" s="107"/>
      <c r="B48" s="108"/>
      <c r="C48" s="112" t="s">
        <v>95</v>
      </c>
      <c r="D48" s="113">
        <f>COUNTA(D46:D47)</f>
        <v>2</v>
      </c>
      <c r="E48" s="110"/>
      <c r="F48" s="110"/>
      <c r="G48" s="110"/>
      <c r="H48" s="110"/>
      <c r="I48" s="110"/>
      <c r="J48" s="109"/>
    </row>
    <row r="49" spans="1:10">
      <c r="A49" s="107"/>
      <c r="B49" s="108"/>
      <c r="C49" s="109"/>
      <c r="D49" s="110"/>
      <c r="E49" s="110"/>
      <c r="F49" s="110"/>
      <c r="G49" s="110"/>
      <c r="H49" s="110"/>
      <c r="I49" s="110"/>
      <c r="J49" s="109"/>
    </row>
    <row r="50" spans="1:10" ht="42">
      <c r="A50" s="103">
        <v>2</v>
      </c>
      <c r="B50" s="104" t="s">
        <v>5854</v>
      </c>
      <c r="C50" s="105" t="s">
        <v>5855</v>
      </c>
      <c r="D50" s="106" t="s">
        <v>111</v>
      </c>
      <c r="E50" s="106"/>
      <c r="F50" s="106" t="s">
        <v>49</v>
      </c>
      <c r="G50" s="106"/>
      <c r="H50" s="106"/>
      <c r="I50" s="106"/>
      <c r="J50" s="105"/>
    </row>
    <row r="51" spans="1:10" ht="42">
      <c r="A51" s="103">
        <v>5</v>
      </c>
      <c r="B51" s="104" t="s">
        <v>965</v>
      </c>
      <c r="C51" s="105" t="s">
        <v>5856</v>
      </c>
      <c r="D51" s="106" t="s">
        <v>111</v>
      </c>
      <c r="E51" s="106"/>
      <c r="F51" s="106" t="s">
        <v>49</v>
      </c>
      <c r="G51" s="106"/>
      <c r="H51" s="106"/>
      <c r="I51" s="106"/>
      <c r="J51" s="105"/>
    </row>
    <row r="52" spans="1:10" ht="42">
      <c r="A52" s="103">
        <v>6</v>
      </c>
      <c r="B52" s="104" t="s">
        <v>5857</v>
      </c>
      <c r="C52" s="105" t="s">
        <v>5858</v>
      </c>
      <c r="D52" s="106" t="s">
        <v>111</v>
      </c>
      <c r="E52" s="106"/>
      <c r="F52" s="106" t="s">
        <v>49</v>
      </c>
      <c r="G52" s="106"/>
      <c r="H52" s="106"/>
      <c r="I52" s="106"/>
      <c r="J52" s="105"/>
    </row>
    <row r="53" spans="1:10" ht="42">
      <c r="A53" s="103">
        <v>7</v>
      </c>
      <c r="B53" s="104" t="s">
        <v>345</v>
      </c>
      <c r="C53" s="105" t="s">
        <v>5859</v>
      </c>
      <c r="D53" s="106" t="s">
        <v>111</v>
      </c>
      <c r="E53" s="106"/>
      <c r="F53" s="106" t="s">
        <v>49</v>
      </c>
      <c r="G53" s="106"/>
      <c r="H53" s="106"/>
      <c r="I53" s="106"/>
      <c r="J53" s="105"/>
    </row>
    <row r="54" spans="1:10" ht="42">
      <c r="A54" s="103">
        <v>8</v>
      </c>
      <c r="B54" s="104" t="s">
        <v>5860</v>
      </c>
      <c r="C54" s="105" t="s">
        <v>5861</v>
      </c>
      <c r="D54" s="106" t="s">
        <v>111</v>
      </c>
      <c r="E54" s="106"/>
      <c r="F54" s="106" t="s">
        <v>49</v>
      </c>
      <c r="G54" s="106"/>
      <c r="H54" s="106"/>
      <c r="I54" s="106"/>
      <c r="J54" s="105"/>
    </row>
    <row r="55" spans="1:10" ht="42">
      <c r="A55" s="103">
        <v>9</v>
      </c>
      <c r="B55" s="104" t="s">
        <v>5862</v>
      </c>
      <c r="C55" s="105" t="s">
        <v>5863</v>
      </c>
      <c r="D55" s="106" t="s">
        <v>111</v>
      </c>
      <c r="E55" s="106"/>
      <c r="F55" s="106" t="s">
        <v>49</v>
      </c>
      <c r="G55" s="106"/>
      <c r="H55" s="106"/>
      <c r="I55" s="106"/>
      <c r="J55" s="105"/>
    </row>
    <row r="56" spans="1:10" ht="42">
      <c r="A56" s="103">
        <v>12</v>
      </c>
      <c r="B56" s="104" t="s">
        <v>5864</v>
      </c>
      <c r="C56" s="105" t="s">
        <v>5865</v>
      </c>
      <c r="D56" s="106" t="s">
        <v>111</v>
      </c>
      <c r="E56" s="106"/>
      <c r="F56" s="106" t="s">
        <v>49</v>
      </c>
      <c r="G56" s="106"/>
      <c r="H56" s="106"/>
      <c r="I56" s="106"/>
      <c r="J56" s="105"/>
    </row>
    <row r="57" spans="1:10" ht="42">
      <c r="A57" s="103">
        <v>14</v>
      </c>
      <c r="B57" s="104" t="s">
        <v>5866</v>
      </c>
      <c r="C57" s="105" t="s">
        <v>5867</v>
      </c>
      <c r="D57" s="106" t="s">
        <v>111</v>
      </c>
      <c r="E57" s="106"/>
      <c r="F57" s="106" t="s">
        <v>49</v>
      </c>
      <c r="G57" s="106"/>
      <c r="H57" s="106"/>
      <c r="I57" s="106"/>
      <c r="J57" s="105"/>
    </row>
    <row r="58" spans="1:10" ht="42">
      <c r="A58" s="103">
        <v>15</v>
      </c>
      <c r="B58" s="104" t="s">
        <v>5758</v>
      </c>
      <c r="C58" s="105" t="s">
        <v>5868</v>
      </c>
      <c r="D58" s="106" t="s">
        <v>111</v>
      </c>
      <c r="E58" s="106"/>
      <c r="F58" s="106" t="s">
        <v>49</v>
      </c>
      <c r="G58" s="106"/>
      <c r="H58" s="106"/>
      <c r="I58" s="106"/>
      <c r="J58" s="105"/>
    </row>
    <row r="59" spans="1:10" ht="42">
      <c r="A59" s="103">
        <v>16</v>
      </c>
      <c r="B59" s="104" t="s">
        <v>5869</v>
      </c>
      <c r="C59" s="105" t="s">
        <v>5870</v>
      </c>
      <c r="D59" s="106" t="s">
        <v>111</v>
      </c>
      <c r="E59" s="106"/>
      <c r="F59" s="106" t="s">
        <v>49</v>
      </c>
      <c r="G59" s="106"/>
      <c r="H59" s="106"/>
      <c r="I59" s="106"/>
      <c r="J59" s="105"/>
    </row>
    <row r="60" spans="1:10" ht="42">
      <c r="A60" s="103">
        <v>17</v>
      </c>
      <c r="B60" s="104" t="s">
        <v>5871</v>
      </c>
      <c r="C60" s="105" t="s">
        <v>5872</v>
      </c>
      <c r="D60" s="106" t="s">
        <v>111</v>
      </c>
      <c r="E60" s="106"/>
      <c r="F60" s="106" t="s">
        <v>49</v>
      </c>
      <c r="G60" s="106"/>
      <c r="H60" s="106"/>
      <c r="I60" s="106"/>
      <c r="J60" s="105"/>
    </row>
    <row r="61" spans="1:10" ht="28">
      <c r="A61" s="103">
        <v>18</v>
      </c>
      <c r="B61" s="104" t="s">
        <v>5873</v>
      </c>
      <c r="C61" s="105" t="s">
        <v>5874</v>
      </c>
      <c r="D61" s="106" t="s">
        <v>111</v>
      </c>
      <c r="E61" s="106"/>
      <c r="F61" s="106" t="s">
        <v>49</v>
      </c>
      <c r="G61" s="106"/>
      <c r="H61" s="106"/>
      <c r="I61" s="106"/>
      <c r="J61" s="105"/>
    </row>
    <row r="62" spans="1:10" ht="42">
      <c r="A62" s="103">
        <v>19</v>
      </c>
      <c r="B62" s="104" t="s">
        <v>5875</v>
      </c>
      <c r="C62" s="105" t="s">
        <v>5876</v>
      </c>
      <c r="D62" s="106" t="s">
        <v>111</v>
      </c>
      <c r="E62" s="106"/>
      <c r="F62" s="106" t="s">
        <v>49</v>
      </c>
      <c r="G62" s="106"/>
      <c r="H62" s="106"/>
      <c r="I62" s="106"/>
      <c r="J62" s="105"/>
    </row>
    <row r="63" spans="1:10" ht="28">
      <c r="A63" s="103">
        <v>21</v>
      </c>
      <c r="B63" s="104" t="s">
        <v>5877</v>
      </c>
      <c r="C63" s="105" t="s">
        <v>5878</v>
      </c>
      <c r="D63" s="106" t="s">
        <v>111</v>
      </c>
      <c r="E63" s="106"/>
      <c r="F63" s="106" t="s">
        <v>49</v>
      </c>
      <c r="G63" s="106"/>
      <c r="H63" s="106"/>
      <c r="I63" s="106"/>
      <c r="J63" s="105"/>
    </row>
    <row r="64" spans="1:10" ht="42">
      <c r="A64" s="103">
        <v>22</v>
      </c>
      <c r="B64" s="104" t="s">
        <v>5879</v>
      </c>
      <c r="C64" s="105" t="s">
        <v>5880</v>
      </c>
      <c r="D64" s="106" t="s">
        <v>111</v>
      </c>
      <c r="E64" s="106"/>
      <c r="F64" s="106" t="s">
        <v>49</v>
      </c>
      <c r="G64" s="106"/>
      <c r="H64" s="106"/>
      <c r="I64" s="106"/>
      <c r="J64" s="105"/>
    </row>
    <row r="65" spans="1:10" ht="28">
      <c r="A65" s="103">
        <v>23</v>
      </c>
      <c r="B65" s="104" t="s">
        <v>5881</v>
      </c>
      <c r="C65" s="105" t="s">
        <v>5882</v>
      </c>
      <c r="D65" s="106" t="s">
        <v>111</v>
      </c>
      <c r="E65" s="106"/>
      <c r="F65" s="106" t="s">
        <v>49</v>
      </c>
      <c r="G65" s="106"/>
      <c r="H65" s="106"/>
      <c r="I65" s="106"/>
      <c r="J65" s="105"/>
    </row>
    <row r="66" spans="1:10" ht="28">
      <c r="A66" s="103">
        <v>25</v>
      </c>
      <c r="B66" s="104" t="s">
        <v>5883</v>
      </c>
      <c r="C66" s="105" t="s">
        <v>5884</v>
      </c>
      <c r="D66" s="106" t="s">
        <v>111</v>
      </c>
      <c r="E66" s="106"/>
      <c r="F66" s="106" t="s">
        <v>49</v>
      </c>
      <c r="G66" s="106"/>
      <c r="H66" s="106"/>
      <c r="I66" s="106"/>
      <c r="J66" s="105"/>
    </row>
    <row r="67" spans="1:10" ht="42">
      <c r="A67" s="103">
        <v>26</v>
      </c>
      <c r="B67" s="104" t="s">
        <v>1615</v>
      </c>
      <c r="C67" s="105" t="s">
        <v>5885</v>
      </c>
      <c r="D67" s="106" t="s">
        <v>111</v>
      </c>
      <c r="E67" s="106"/>
      <c r="F67" s="106" t="s">
        <v>49</v>
      </c>
      <c r="G67" s="106"/>
      <c r="H67" s="106"/>
      <c r="I67" s="106"/>
      <c r="J67" s="105"/>
    </row>
    <row r="68" spans="1:10" ht="28">
      <c r="A68" s="103">
        <v>27</v>
      </c>
      <c r="B68" s="104" t="s">
        <v>5886</v>
      </c>
      <c r="C68" s="105" t="s">
        <v>5887</v>
      </c>
      <c r="D68" s="106" t="s">
        <v>111</v>
      </c>
      <c r="E68" s="106"/>
      <c r="F68" s="106" t="s">
        <v>49</v>
      </c>
      <c r="G68" s="106"/>
      <c r="H68" s="106"/>
      <c r="I68" s="106"/>
      <c r="J68" s="105"/>
    </row>
    <row r="69" spans="1:10" ht="28">
      <c r="A69" s="103">
        <v>30</v>
      </c>
      <c r="B69" s="104" t="s">
        <v>5888</v>
      </c>
      <c r="C69" s="105" t="s">
        <v>5889</v>
      </c>
      <c r="D69" s="106" t="s">
        <v>111</v>
      </c>
      <c r="E69" s="106"/>
      <c r="F69" s="106" t="s">
        <v>49</v>
      </c>
      <c r="G69" s="106"/>
      <c r="H69" s="106"/>
      <c r="I69" s="106"/>
      <c r="J69" s="105"/>
    </row>
    <row r="70" spans="1:10" ht="28">
      <c r="A70" s="103">
        <v>34</v>
      </c>
      <c r="B70" s="104" t="s">
        <v>5890</v>
      </c>
      <c r="C70" s="105" t="s">
        <v>5891</v>
      </c>
      <c r="D70" s="106" t="s">
        <v>111</v>
      </c>
      <c r="E70" s="106"/>
      <c r="F70" s="106" t="s">
        <v>49</v>
      </c>
      <c r="G70" s="106"/>
      <c r="H70" s="106"/>
      <c r="I70" s="106"/>
      <c r="J70" s="105"/>
    </row>
    <row r="71" spans="1:10" ht="28">
      <c r="A71" s="103">
        <v>35</v>
      </c>
      <c r="B71" s="104" t="s">
        <v>5892</v>
      </c>
      <c r="C71" s="105" t="s">
        <v>5893</v>
      </c>
      <c r="D71" s="106" t="s">
        <v>111</v>
      </c>
      <c r="E71" s="106"/>
      <c r="F71" s="106" t="s">
        <v>49</v>
      </c>
      <c r="G71" s="106"/>
      <c r="H71" s="106"/>
      <c r="I71" s="106"/>
      <c r="J71" s="105"/>
    </row>
    <row r="72" spans="1:10" ht="28">
      <c r="A72" s="103">
        <v>38</v>
      </c>
      <c r="B72" s="104" t="s">
        <v>5894</v>
      </c>
      <c r="C72" s="105" t="s">
        <v>5895</v>
      </c>
      <c r="D72" s="106" t="s">
        <v>111</v>
      </c>
      <c r="E72" s="106"/>
      <c r="F72" s="106" t="s">
        <v>49</v>
      </c>
      <c r="G72" s="106"/>
      <c r="H72" s="106"/>
      <c r="I72" s="106"/>
      <c r="J72" s="105"/>
    </row>
    <row r="73" spans="1:10" ht="42">
      <c r="A73" s="103">
        <v>39</v>
      </c>
      <c r="B73" s="104" t="s">
        <v>5896</v>
      </c>
      <c r="C73" s="105" t="s">
        <v>5897</v>
      </c>
      <c r="D73" s="106" t="s">
        <v>111</v>
      </c>
      <c r="E73" s="106"/>
      <c r="F73" s="106" t="s">
        <v>49</v>
      </c>
      <c r="G73" s="106"/>
      <c r="H73" s="106"/>
      <c r="I73" s="106"/>
      <c r="J73" s="105"/>
    </row>
    <row r="74" spans="1:10" ht="28">
      <c r="A74" s="103">
        <v>42</v>
      </c>
      <c r="B74" s="104" t="s">
        <v>5898</v>
      </c>
      <c r="C74" s="105" t="s">
        <v>5899</v>
      </c>
      <c r="D74" s="106" t="s">
        <v>111</v>
      </c>
      <c r="E74" s="106"/>
      <c r="F74" s="106" t="s">
        <v>49</v>
      </c>
      <c r="G74" s="106"/>
      <c r="H74" s="106"/>
      <c r="I74" s="106"/>
      <c r="J74" s="105"/>
    </row>
    <row r="75" spans="1:10" ht="28">
      <c r="A75" s="103">
        <v>44</v>
      </c>
      <c r="B75" s="104" t="s">
        <v>5900</v>
      </c>
      <c r="C75" s="105" t="s">
        <v>5901</v>
      </c>
      <c r="D75" s="106" t="s">
        <v>111</v>
      </c>
      <c r="E75" s="106"/>
      <c r="F75" s="106" t="s">
        <v>49</v>
      </c>
      <c r="G75" s="106"/>
      <c r="H75" s="106"/>
      <c r="I75" s="106"/>
      <c r="J75" s="105"/>
    </row>
    <row r="76" spans="1:10" ht="28">
      <c r="A76" s="103">
        <v>45</v>
      </c>
      <c r="B76" s="104" t="s">
        <v>5902</v>
      </c>
      <c r="C76" s="105" t="s">
        <v>5903</v>
      </c>
      <c r="D76" s="106" t="s">
        <v>111</v>
      </c>
      <c r="E76" s="106"/>
      <c r="F76" s="106" t="s">
        <v>49</v>
      </c>
      <c r="G76" s="106"/>
      <c r="H76" s="106"/>
      <c r="I76" s="106"/>
      <c r="J76" s="105"/>
    </row>
    <row r="77" spans="1:10" ht="28">
      <c r="A77" s="103">
        <v>47</v>
      </c>
      <c r="B77" s="104" t="s">
        <v>5611</v>
      </c>
      <c r="C77" s="105" t="s">
        <v>5904</v>
      </c>
      <c r="D77" s="106" t="s">
        <v>111</v>
      </c>
      <c r="E77" s="106"/>
      <c r="F77" s="106" t="s">
        <v>49</v>
      </c>
      <c r="G77" s="106"/>
      <c r="H77" s="106"/>
      <c r="I77" s="106"/>
      <c r="J77" s="105"/>
    </row>
    <row r="78" spans="1:10" ht="28">
      <c r="A78" s="103">
        <v>48</v>
      </c>
      <c r="B78" s="104" t="s">
        <v>5905</v>
      </c>
      <c r="C78" s="105" t="s">
        <v>5906</v>
      </c>
      <c r="D78" s="106" t="s">
        <v>111</v>
      </c>
      <c r="E78" s="106"/>
      <c r="F78" s="106" t="s">
        <v>49</v>
      </c>
      <c r="G78" s="106"/>
      <c r="H78" s="106"/>
      <c r="I78" s="106"/>
      <c r="J78" s="105"/>
    </row>
    <row r="79" spans="1:10" ht="56">
      <c r="A79" s="103">
        <v>49</v>
      </c>
      <c r="B79" s="104" t="s">
        <v>5907</v>
      </c>
      <c r="C79" s="105" t="s">
        <v>5908</v>
      </c>
      <c r="D79" s="106" t="s">
        <v>111</v>
      </c>
      <c r="E79" s="106"/>
      <c r="F79" s="106" t="s">
        <v>49</v>
      </c>
      <c r="G79" s="106"/>
      <c r="H79" s="106"/>
      <c r="I79" s="106"/>
      <c r="J79" s="105"/>
    </row>
    <row r="80" spans="1:10" ht="28">
      <c r="A80" s="103">
        <v>57</v>
      </c>
      <c r="B80" s="104" t="s">
        <v>5909</v>
      </c>
      <c r="C80" s="105" t="s">
        <v>5910</v>
      </c>
      <c r="D80" s="106" t="s">
        <v>111</v>
      </c>
      <c r="E80" s="106" t="s">
        <v>4626</v>
      </c>
      <c r="F80" s="106" t="s">
        <v>49</v>
      </c>
      <c r="G80" s="106"/>
      <c r="H80" s="106"/>
      <c r="I80" s="106"/>
      <c r="J80" s="105"/>
    </row>
    <row r="81" spans="1:10" ht="28">
      <c r="A81" s="103">
        <v>60</v>
      </c>
      <c r="B81" s="104" t="s">
        <v>5911</v>
      </c>
      <c r="C81" s="105" t="s">
        <v>5912</v>
      </c>
      <c r="D81" s="106" t="s">
        <v>111</v>
      </c>
      <c r="E81" s="111" t="s">
        <v>4626</v>
      </c>
      <c r="F81" s="106" t="s">
        <v>49</v>
      </c>
      <c r="G81" s="106"/>
      <c r="H81" s="106"/>
      <c r="I81" s="106"/>
      <c r="J81" s="105"/>
    </row>
    <row r="82" spans="1:10" ht="28">
      <c r="A82" s="103">
        <v>61</v>
      </c>
      <c r="B82" s="104" t="s">
        <v>5913</v>
      </c>
      <c r="C82" s="105" t="s">
        <v>5914</v>
      </c>
      <c r="D82" s="106" t="s">
        <v>111</v>
      </c>
      <c r="E82" s="111" t="s">
        <v>4626</v>
      </c>
      <c r="F82" s="106" t="s">
        <v>49</v>
      </c>
      <c r="G82" s="106"/>
      <c r="H82" s="106"/>
      <c r="I82" s="106"/>
      <c r="J82" s="105"/>
    </row>
    <row r="83" spans="1:10" ht="28">
      <c r="A83" s="103">
        <v>62</v>
      </c>
      <c r="B83" s="104" t="s">
        <v>5915</v>
      </c>
      <c r="C83" s="105" t="s">
        <v>5916</v>
      </c>
      <c r="D83" s="106" t="s">
        <v>111</v>
      </c>
      <c r="E83" s="111" t="s">
        <v>4626</v>
      </c>
      <c r="F83" s="106" t="s">
        <v>49</v>
      </c>
      <c r="G83" s="106"/>
      <c r="H83" s="106"/>
      <c r="I83" s="106"/>
      <c r="J83" s="105"/>
    </row>
    <row r="84" spans="1:10" ht="42">
      <c r="A84" s="103">
        <v>63</v>
      </c>
      <c r="B84" s="104" t="s">
        <v>5917</v>
      </c>
      <c r="C84" s="105" t="s">
        <v>5918</v>
      </c>
      <c r="D84" s="106" t="s">
        <v>111</v>
      </c>
      <c r="E84" s="106"/>
      <c r="F84" s="106" t="s">
        <v>49</v>
      </c>
      <c r="G84" s="106"/>
      <c r="H84" s="106"/>
      <c r="I84" s="106"/>
      <c r="J84" s="105"/>
    </row>
    <row r="85" spans="1:10" ht="28">
      <c r="A85" s="103">
        <v>64</v>
      </c>
      <c r="B85" s="104" t="s">
        <v>5919</v>
      </c>
      <c r="C85" s="105" t="s">
        <v>5920</v>
      </c>
      <c r="D85" s="106" t="s">
        <v>111</v>
      </c>
      <c r="E85" s="106"/>
      <c r="F85" s="106" t="s">
        <v>49</v>
      </c>
      <c r="G85" s="106"/>
      <c r="H85" s="106"/>
      <c r="I85" s="106"/>
      <c r="J85" s="105"/>
    </row>
    <row r="86" spans="1:10" ht="28">
      <c r="A86" s="103">
        <v>65</v>
      </c>
      <c r="B86" s="104" t="s">
        <v>5921</v>
      </c>
      <c r="C86" s="105" t="s">
        <v>5922</v>
      </c>
      <c r="D86" s="106" t="s">
        <v>111</v>
      </c>
      <c r="E86" s="111" t="s">
        <v>4626</v>
      </c>
      <c r="F86" s="106" t="s">
        <v>49</v>
      </c>
      <c r="G86" s="106"/>
      <c r="H86" s="106"/>
      <c r="I86" s="106"/>
      <c r="J86" s="105"/>
    </row>
    <row r="87" spans="1:10" ht="28">
      <c r="A87" s="103">
        <v>66</v>
      </c>
      <c r="B87" s="104" t="s">
        <v>5923</v>
      </c>
      <c r="C87" s="105" t="s">
        <v>5924</v>
      </c>
      <c r="D87" s="106" t="s">
        <v>111</v>
      </c>
      <c r="E87" s="111" t="s">
        <v>4626</v>
      </c>
      <c r="F87" s="106" t="s">
        <v>49</v>
      </c>
      <c r="G87" s="106"/>
      <c r="H87" s="106"/>
      <c r="I87" s="106"/>
      <c r="J87" s="105"/>
    </row>
    <row r="88" spans="1:10" ht="28">
      <c r="A88" s="103">
        <v>67</v>
      </c>
      <c r="B88" s="104" t="s">
        <v>5925</v>
      </c>
      <c r="C88" s="105" t="s">
        <v>5926</v>
      </c>
      <c r="D88" s="106" t="s">
        <v>111</v>
      </c>
      <c r="E88" s="111" t="s">
        <v>4626</v>
      </c>
      <c r="F88" s="106" t="s">
        <v>49</v>
      </c>
      <c r="G88" s="106"/>
      <c r="H88" s="106"/>
      <c r="I88" s="106"/>
      <c r="J88" s="105"/>
    </row>
    <row r="89" spans="1:10" ht="56">
      <c r="A89" s="107">
        <v>70</v>
      </c>
      <c r="B89" s="108" t="s">
        <v>5927</v>
      </c>
      <c r="C89" s="109" t="s">
        <v>5928</v>
      </c>
      <c r="D89" s="110" t="s">
        <v>111</v>
      </c>
      <c r="E89" s="110"/>
      <c r="F89" s="110" t="s">
        <v>49</v>
      </c>
      <c r="G89" s="110"/>
      <c r="H89" s="110"/>
      <c r="I89" s="110"/>
      <c r="J89" s="109"/>
    </row>
    <row r="90" spans="1:10" ht="42">
      <c r="A90" s="103">
        <v>71</v>
      </c>
      <c r="B90" s="104" t="s">
        <v>5929</v>
      </c>
      <c r="C90" s="105" t="s">
        <v>5930</v>
      </c>
      <c r="D90" s="106" t="s">
        <v>111</v>
      </c>
      <c r="E90" s="106"/>
      <c r="F90" s="106" t="s">
        <v>49</v>
      </c>
      <c r="G90" s="106"/>
      <c r="H90" s="106"/>
      <c r="I90" s="106"/>
      <c r="J90" s="105"/>
    </row>
    <row r="91" spans="1:10" ht="28">
      <c r="A91" s="103">
        <v>74</v>
      </c>
      <c r="B91" s="104" t="s">
        <v>5931</v>
      </c>
      <c r="C91" s="105" t="s">
        <v>5932</v>
      </c>
      <c r="D91" s="106" t="s">
        <v>111</v>
      </c>
      <c r="E91" s="106"/>
      <c r="F91" s="106" t="s">
        <v>49</v>
      </c>
      <c r="G91" s="106"/>
      <c r="H91" s="106"/>
      <c r="I91" s="106"/>
      <c r="J91" s="105"/>
    </row>
    <row r="92" spans="1:10" ht="28">
      <c r="A92" s="103">
        <v>76</v>
      </c>
      <c r="B92" s="104" t="s">
        <v>5933</v>
      </c>
      <c r="C92" s="105" t="s">
        <v>5934</v>
      </c>
      <c r="D92" s="106" t="s">
        <v>111</v>
      </c>
      <c r="E92" s="111" t="s">
        <v>4626</v>
      </c>
      <c r="F92" s="106" t="s">
        <v>49</v>
      </c>
      <c r="G92" s="106"/>
      <c r="H92" s="106"/>
      <c r="I92" s="106"/>
      <c r="J92" s="105"/>
    </row>
    <row r="93" spans="1:10" ht="28">
      <c r="A93" s="103">
        <v>78</v>
      </c>
      <c r="B93" s="104" t="s">
        <v>5935</v>
      </c>
      <c r="C93" s="105" t="s">
        <v>5936</v>
      </c>
      <c r="D93" s="106" t="s">
        <v>111</v>
      </c>
      <c r="E93" s="111" t="s">
        <v>4626</v>
      </c>
      <c r="F93" s="106" t="s">
        <v>49</v>
      </c>
      <c r="G93" s="106"/>
      <c r="H93" s="106"/>
      <c r="I93" s="106"/>
      <c r="J93" s="105"/>
    </row>
    <row r="94" spans="1:10" ht="28">
      <c r="A94" s="103">
        <v>80</v>
      </c>
      <c r="B94" s="104" t="s">
        <v>5937</v>
      </c>
      <c r="C94" s="105" t="s">
        <v>5938</v>
      </c>
      <c r="D94" s="106" t="s">
        <v>111</v>
      </c>
      <c r="E94" s="106"/>
      <c r="F94" s="106" t="s">
        <v>49</v>
      </c>
      <c r="G94" s="106"/>
      <c r="H94" s="106"/>
      <c r="I94" s="106"/>
      <c r="J94" s="105"/>
    </row>
    <row r="95" spans="1:10" ht="28">
      <c r="A95" s="103">
        <v>84</v>
      </c>
      <c r="B95" s="104" t="s">
        <v>5939</v>
      </c>
      <c r="C95" s="105" t="s">
        <v>5940</v>
      </c>
      <c r="D95" s="106" t="s">
        <v>111</v>
      </c>
      <c r="E95" s="111" t="s">
        <v>4626</v>
      </c>
      <c r="F95" s="106" t="s">
        <v>49</v>
      </c>
      <c r="G95" s="106"/>
      <c r="H95" s="106"/>
      <c r="I95" s="106"/>
      <c r="J95" s="105"/>
    </row>
    <row r="96" spans="1:10" ht="70">
      <c r="A96" s="103">
        <v>85</v>
      </c>
      <c r="B96" s="104" t="s">
        <v>5941</v>
      </c>
      <c r="C96" s="105" t="s">
        <v>5942</v>
      </c>
      <c r="D96" s="106" t="s">
        <v>111</v>
      </c>
      <c r="E96" s="106"/>
      <c r="F96" s="106" t="s">
        <v>49</v>
      </c>
      <c r="G96" s="106"/>
      <c r="H96" s="106"/>
      <c r="I96" s="106"/>
      <c r="J96" s="105"/>
    </row>
    <row r="97" spans="1:10" ht="28">
      <c r="A97" s="103">
        <v>86</v>
      </c>
      <c r="B97" s="104" t="s">
        <v>5943</v>
      </c>
      <c r="C97" s="105" t="s">
        <v>5944</v>
      </c>
      <c r="D97" s="106" t="s">
        <v>111</v>
      </c>
      <c r="E97" s="111" t="s">
        <v>4626</v>
      </c>
      <c r="F97" s="106" t="s">
        <v>49</v>
      </c>
      <c r="G97" s="106"/>
      <c r="H97" s="106"/>
      <c r="I97" s="106"/>
      <c r="J97" s="105"/>
    </row>
    <row r="98" spans="1:10" ht="28">
      <c r="A98" s="103">
        <v>87</v>
      </c>
      <c r="B98" s="104" t="s">
        <v>5945</v>
      </c>
      <c r="C98" s="105" t="s">
        <v>5946</v>
      </c>
      <c r="D98" s="106" t="s">
        <v>111</v>
      </c>
      <c r="E98" s="111" t="s">
        <v>4626</v>
      </c>
      <c r="F98" s="106" t="s">
        <v>49</v>
      </c>
      <c r="G98" s="106"/>
      <c r="H98" s="106"/>
      <c r="I98" s="106"/>
      <c r="J98" s="105"/>
    </row>
    <row r="99" spans="1:10" ht="28">
      <c r="A99" s="103">
        <v>88</v>
      </c>
      <c r="B99" s="104" t="s">
        <v>2586</v>
      </c>
      <c r="C99" s="105" t="s">
        <v>5947</v>
      </c>
      <c r="D99" s="106" t="s">
        <v>111</v>
      </c>
      <c r="E99" s="111" t="s">
        <v>4626</v>
      </c>
      <c r="F99" s="106" t="s">
        <v>49</v>
      </c>
      <c r="G99" s="106"/>
      <c r="H99" s="106"/>
      <c r="I99" s="106"/>
      <c r="J99" s="105"/>
    </row>
    <row r="100" spans="1:10" ht="28">
      <c r="A100" s="103">
        <v>89</v>
      </c>
      <c r="B100" s="104" t="s">
        <v>5948</v>
      </c>
      <c r="C100" s="105" t="s">
        <v>5949</v>
      </c>
      <c r="D100" s="106" t="s">
        <v>111</v>
      </c>
      <c r="E100" s="111" t="s">
        <v>4626</v>
      </c>
      <c r="F100" s="106" t="s">
        <v>49</v>
      </c>
      <c r="G100" s="106"/>
      <c r="H100" s="106"/>
      <c r="I100" s="106"/>
      <c r="J100" s="105"/>
    </row>
    <row r="101" spans="1:10" ht="42">
      <c r="A101" s="103">
        <v>90</v>
      </c>
      <c r="B101" s="104" t="s">
        <v>5950</v>
      </c>
      <c r="C101" s="105" t="s">
        <v>5951</v>
      </c>
      <c r="D101" s="106" t="s">
        <v>111</v>
      </c>
      <c r="E101" s="111" t="s">
        <v>4626</v>
      </c>
      <c r="F101" s="106" t="s">
        <v>49</v>
      </c>
      <c r="G101" s="106"/>
      <c r="H101" s="106"/>
      <c r="I101" s="106"/>
      <c r="J101" s="105"/>
    </row>
    <row r="102" spans="1:10" ht="28">
      <c r="A102" s="103">
        <v>91</v>
      </c>
      <c r="B102" s="104" t="s">
        <v>5952</v>
      </c>
      <c r="C102" s="105" t="s">
        <v>5953</v>
      </c>
      <c r="D102" s="106" t="s">
        <v>111</v>
      </c>
      <c r="E102" s="111" t="s">
        <v>4626</v>
      </c>
      <c r="F102" s="106" t="s">
        <v>49</v>
      </c>
      <c r="G102" s="106"/>
      <c r="H102" s="106"/>
      <c r="I102" s="106"/>
      <c r="J102" s="105"/>
    </row>
    <row r="103" spans="1:10" ht="28">
      <c r="A103" s="103">
        <v>92</v>
      </c>
      <c r="B103" s="104" t="s">
        <v>5954</v>
      </c>
      <c r="C103" s="105" t="s">
        <v>5955</v>
      </c>
      <c r="D103" s="106" t="s">
        <v>111</v>
      </c>
      <c r="E103" s="111" t="s">
        <v>4626</v>
      </c>
      <c r="F103" s="106" t="s">
        <v>49</v>
      </c>
      <c r="G103" s="106"/>
      <c r="H103" s="106"/>
      <c r="I103" s="106"/>
      <c r="J103" s="105"/>
    </row>
    <row r="104" spans="1:10" ht="28">
      <c r="A104" s="103">
        <v>93</v>
      </c>
      <c r="B104" s="104" t="s">
        <v>5956</v>
      </c>
      <c r="C104" s="105" t="s">
        <v>5957</v>
      </c>
      <c r="D104" s="106" t="s">
        <v>111</v>
      </c>
      <c r="E104" s="111" t="s">
        <v>4626</v>
      </c>
      <c r="F104" s="106" t="s">
        <v>49</v>
      </c>
      <c r="G104" s="106"/>
      <c r="H104" s="106"/>
      <c r="I104" s="106"/>
      <c r="J104" s="105"/>
    </row>
    <row r="105" spans="1:10" ht="28">
      <c r="A105" s="103">
        <v>94</v>
      </c>
      <c r="B105" s="104" t="s">
        <v>5958</v>
      </c>
      <c r="C105" s="105" t="s">
        <v>5959</v>
      </c>
      <c r="D105" s="106" t="s">
        <v>111</v>
      </c>
      <c r="E105" s="111" t="s">
        <v>4626</v>
      </c>
      <c r="F105" s="106" t="s">
        <v>49</v>
      </c>
      <c r="G105" s="106"/>
      <c r="H105" s="106"/>
      <c r="I105" s="106"/>
      <c r="J105" s="105"/>
    </row>
    <row r="106" spans="1:10" ht="42">
      <c r="A106" s="103">
        <v>97</v>
      </c>
      <c r="B106" s="104" t="s">
        <v>5960</v>
      </c>
      <c r="C106" s="105" t="s">
        <v>5961</v>
      </c>
      <c r="D106" s="106" t="s">
        <v>111</v>
      </c>
      <c r="E106" s="106"/>
      <c r="F106" s="106" t="s">
        <v>49</v>
      </c>
      <c r="G106" s="106"/>
      <c r="H106" s="106"/>
      <c r="I106" s="106"/>
      <c r="J106" s="105"/>
    </row>
    <row r="107" spans="1:10" ht="28">
      <c r="A107" s="103">
        <v>104</v>
      </c>
      <c r="B107" s="104" t="s">
        <v>5962</v>
      </c>
      <c r="C107" s="105" t="s">
        <v>5963</v>
      </c>
      <c r="D107" s="106" t="s">
        <v>111</v>
      </c>
      <c r="E107" s="111" t="s">
        <v>4626</v>
      </c>
      <c r="F107" s="106" t="s">
        <v>49</v>
      </c>
      <c r="G107" s="106"/>
      <c r="H107" s="106"/>
      <c r="I107" s="106"/>
      <c r="J107" s="105"/>
    </row>
    <row r="108" spans="1:10" ht="28">
      <c r="A108" s="103">
        <v>105</v>
      </c>
      <c r="B108" s="104" t="s">
        <v>5964</v>
      </c>
      <c r="C108" s="105" t="s">
        <v>5965</v>
      </c>
      <c r="D108" s="106" t="s">
        <v>111</v>
      </c>
      <c r="E108" s="111" t="s">
        <v>4626</v>
      </c>
      <c r="F108" s="106" t="s">
        <v>49</v>
      </c>
      <c r="G108" s="106"/>
      <c r="H108" s="106"/>
      <c r="I108" s="106"/>
      <c r="J108" s="105"/>
    </row>
    <row r="109" spans="1:10" ht="42">
      <c r="A109" s="103">
        <v>106</v>
      </c>
      <c r="B109" s="104" t="s">
        <v>5966</v>
      </c>
      <c r="C109" s="105" t="s">
        <v>5967</v>
      </c>
      <c r="D109" s="106" t="s">
        <v>111</v>
      </c>
      <c r="E109" s="111" t="s">
        <v>4626</v>
      </c>
      <c r="F109" s="106" t="s">
        <v>49</v>
      </c>
      <c r="G109" s="106"/>
      <c r="H109" s="106"/>
      <c r="I109" s="106"/>
      <c r="J109" s="105"/>
    </row>
    <row r="110" spans="1:10" ht="42">
      <c r="A110" s="103">
        <v>107</v>
      </c>
      <c r="B110" s="104" t="s">
        <v>5968</v>
      </c>
      <c r="C110" s="105" t="s">
        <v>5969</v>
      </c>
      <c r="D110" s="106" t="s">
        <v>111</v>
      </c>
      <c r="E110" s="106"/>
      <c r="F110" s="106" t="s">
        <v>49</v>
      </c>
      <c r="G110" s="106"/>
      <c r="H110" s="106"/>
      <c r="I110" s="106"/>
      <c r="J110" s="105"/>
    </row>
    <row r="111" spans="1:10" ht="28">
      <c r="A111" s="103">
        <v>108</v>
      </c>
      <c r="B111" s="104" t="s">
        <v>5970</v>
      </c>
      <c r="C111" s="105" t="s">
        <v>5971</v>
      </c>
      <c r="D111" s="106" t="s">
        <v>111</v>
      </c>
      <c r="E111" s="106"/>
      <c r="F111" s="106" t="s">
        <v>49</v>
      </c>
      <c r="G111" s="106"/>
      <c r="H111" s="106"/>
      <c r="I111" s="106"/>
      <c r="J111" s="105"/>
    </row>
    <row r="112" spans="1:10" ht="42">
      <c r="A112" s="103">
        <v>110</v>
      </c>
      <c r="B112" s="104" t="s">
        <v>5972</v>
      </c>
      <c r="C112" s="105" t="s">
        <v>5973</v>
      </c>
      <c r="D112" s="106" t="s">
        <v>111</v>
      </c>
      <c r="E112" s="111" t="s">
        <v>4626</v>
      </c>
      <c r="F112" s="106" t="s">
        <v>49</v>
      </c>
      <c r="G112" s="106"/>
      <c r="H112" s="106"/>
      <c r="I112" s="106"/>
      <c r="J112" s="105"/>
    </row>
    <row r="113" spans="1:10" ht="56">
      <c r="A113" s="103">
        <v>112</v>
      </c>
      <c r="B113" s="104" t="s">
        <v>5974</v>
      </c>
      <c r="C113" s="105" t="s">
        <v>5975</v>
      </c>
      <c r="D113" s="106" t="s">
        <v>111</v>
      </c>
      <c r="E113" s="106"/>
      <c r="F113" s="106" t="s">
        <v>49</v>
      </c>
      <c r="G113" s="106"/>
      <c r="H113" s="106"/>
      <c r="I113" s="106"/>
      <c r="J113" s="105"/>
    </row>
    <row r="114" spans="1:10" ht="42">
      <c r="A114" s="103">
        <v>113</v>
      </c>
      <c r="B114" s="104" t="s">
        <v>5976</v>
      </c>
      <c r="C114" s="105" t="s">
        <v>5977</v>
      </c>
      <c r="D114" s="106" t="s">
        <v>111</v>
      </c>
      <c r="E114" s="111" t="s">
        <v>4626</v>
      </c>
      <c r="F114" s="106" t="s">
        <v>49</v>
      </c>
      <c r="G114" s="106"/>
      <c r="H114" s="106"/>
      <c r="I114" s="106"/>
      <c r="J114" s="105"/>
    </row>
    <row r="115" spans="1:10" ht="56">
      <c r="A115" s="103">
        <v>114</v>
      </c>
      <c r="B115" s="104" t="s">
        <v>489</v>
      </c>
      <c r="C115" s="105" t="s">
        <v>5978</v>
      </c>
      <c r="D115" s="106" t="s">
        <v>111</v>
      </c>
      <c r="E115" s="106"/>
      <c r="F115" s="106" t="s">
        <v>49</v>
      </c>
      <c r="G115" s="106"/>
      <c r="H115" s="106"/>
      <c r="I115" s="106"/>
      <c r="J115" s="105"/>
    </row>
    <row r="116" spans="1:10" ht="56">
      <c r="A116" s="103">
        <v>115</v>
      </c>
      <c r="B116" s="104" t="s">
        <v>5979</v>
      </c>
      <c r="C116" s="105" t="s">
        <v>5980</v>
      </c>
      <c r="D116" s="106" t="s">
        <v>111</v>
      </c>
      <c r="E116" s="106"/>
      <c r="F116" s="106" t="s">
        <v>49</v>
      </c>
      <c r="G116" s="106"/>
      <c r="H116" s="106"/>
      <c r="I116" s="106"/>
      <c r="J116" s="105"/>
    </row>
    <row r="117" spans="1:10" ht="42">
      <c r="A117" s="103">
        <v>116</v>
      </c>
      <c r="B117" s="104" t="s">
        <v>5981</v>
      </c>
      <c r="C117" s="105" t="s">
        <v>5982</v>
      </c>
      <c r="D117" s="106" t="s">
        <v>111</v>
      </c>
      <c r="E117" s="111" t="s">
        <v>4626</v>
      </c>
      <c r="F117" s="106" t="s">
        <v>49</v>
      </c>
      <c r="G117" s="106"/>
      <c r="H117" s="106"/>
      <c r="I117" s="106"/>
      <c r="J117" s="105"/>
    </row>
    <row r="118" spans="1:10" ht="28">
      <c r="A118" s="103">
        <v>117</v>
      </c>
      <c r="B118" s="104" t="s">
        <v>5983</v>
      </c>
      <c r="C118" s="105" t="s">
        <v>5984</v>
      </c>
      <c r="D118" s="106" t="s">
        <v>111</v>
      </c>
      <c r="E118" s="111" t="s">
        <v>4626</v>
      </c>
      <c r="F118" s="106" t="s">
        <v>49</v>
      </c>
      <c r="G118" s="106"/>
      <c r="H118" s="106"/>
      <c r="I118" s="106"/>
      <c r="J118" s="105"/>
    </row>
    <row r="119" spans="1:10" ht="56">
      <c r="A119" s="103">
        <v>118</v>
      </c>
      <c r="B119" s="104" t="s">
        <v>5985</v>
      </c>
      <c r="C119" s="105" t="s">
        <v>5986</v>
      </c>
      <c r="D119" s="106" t="s">
        <v>111</v>
      </c>
      <c r="E119" s="106"/>
      <c r="F119" s="106" t="s">
        <v>49</v>
      </c>
      <c r="G119" s="106"/>
      <c r="H119" s="106"/>
      <c r="I119" s="106"/>
      <c r="J119" s="105"/>
    </row>
    <row r="120" spans="1:10" ht="84">
      <c r="A120" s="103">
        <v>119</v>
      </c>
      <c r="B120" s="104" t="s">
        <v>5987</v>
      </c>
      <c r="C120" s="105" t="s">
        <v>5988</v>
      </c>
      <c r="D120" s="106" t="s">
        <v>111</v>
      </c>
      <c r="E120" s="106"/>
      <c r="F120" s="106" t="s">
        <v>49</v>
      </c>
      <c r="G120" s="106"/>
      <c r="H120" s="106"/>
      <c r="I120" s="106"/>
      <c r="J120" s="105"/>
    </row>
    <row r="121" spans="1:10" ht="42">
      <c r="A121" s="103">
        <v>126</v>
      </c>
      <c r="B121" s="104" t="s">
        <v>5989</v>
      </c>
      <c r="C121" s="105" t="s">
        <v>5990</v>
      </c>
      <c r="D121" s="106" t="s">
        <v>111</v>
      </c>
      <c r="E121" s="111" t="s">
        <v>4626</v>
      </c>
      <c r="F121" s="106" t="s">
        <v>49</v>
      </c>
      <c r="G121" s="106"/>
      <c r="H121" s="106"/>
      <c r="I121" s="106"/>
      <c r="J121" s="105"/>
    </row>
    <row r="122" spans="1:10" ht="42">
      <c r="A122" s="103">
        <v>129</v>
      </c>
      <c r="B122" s="104" t="s">
        <v>5991</v>
      </c>
      <c r="C122" s="105" t="s">
        <v>5992</v>
      </c>
      <c r="D122" s="111" t="s">
        <v>111</v>
      </c>
      <c r="E122" s="111" t="s">
        <v>4626</v>
      </c>
      <c r="F122" s="111" t="s">
        <v>49</v>
      </c>
      <c r="G122" s="106"/>
      <c r="H122" s="106"/>
      <c r="I122" s="106"/>
      <c r="J122" s="105"/>
    </row>
    <row r="123" spans="1:10" ht="56">
      <c r="A123" s="103">
        <v>130</v>
      </c>
      <c r="B123" s="104" t="s">
        <v>5993</v>
      </c>
      <c r="C123" s="105" t="s">
        <v>5994</v>
      </c>
      <c r="D123" s="111" t="s">
        <v>111</v>
      </c>
      <c r="E123" s="111"/>
      <c r="F123" s="111" t="s">
        <v>49</v>
      </c>
      <c r="G123" s="106"/>
      <c r="H123" s="106"/>
      <c r="I123" s="106"/>
      <c r="J123" s="105"/>
    </row>
    <row r="124" spans="1:10" ht="42">
      <c r="A124" s="103">
        <v>133</v>
      </c>
      <c r="B124" s="104" t="s">
        <v>5995</v>
      </c>
      <c r="C124" s="105" t="s">
        <v>5996</v>
      </c>
      <c r="D124" s="111" t="s">
        <v>111</v>
      </c>
      <c r="E124" s="111"/>
      <c r="F124" s="111" t="s">
        <v>49</v>
      </c>
      <c r="G124" s="106"/>
      <c r="H124" s="106"/>
      <c r="I124" s="106"/>
      <c r="J124" s="105"/>
    </row>
    <row r="125" spans="1:10" ht="28">
      <c r="A125" s="103">
        <v>134</v>
      </c>
      <c r="B125" s="104" t="s">
        <v>5997</v>
      </c>
      <c r="C125" s="105" t="s">
        <v>5998</v>
      </c>
      <c r="D125" s="111" t="s">
        <v>111</v>
      </c>
      <c r="E125" s="111" t="s">
        <v>4626</v>
      </c>
      <c r="F125" s="111" t="s">
        <v>49</v>
      </c>
      <c r="G125" s="106"/>
      <c r="H125" s="106"/>
      <c r="I125" s="106"/>
      <c r="J125" s="105"/>
    </row>
    <row r="126" spans="1:10" ht="28">
      <c r="A126" s="103">
        <v>138</v>
      </c>
      <c r="B126" s="104" t="s">
        <v>5999</v>
      </c>
      <c r="C126" s="105" t="s">
        <v>6000</v>
      </c>
      <c r="D126" s="111" t="s">
        <v>111</v>
      </c>
      <c r="E126" s="111" t="s">
        <v>4626</v>
      </c>
      <c r="F126" s="111" t="s">
        <v>49</v>
      </c>
      <c r="G126" s="106"/>
      <c r="H126" s="106"/>
      <c r="I126" s="106"/>
      <c r="J126" s="105"/>
    </row>
    <row r="127" spans="1:10" ht="28">
      <c r="A127" s="103">
        <v>139</v>
      </c>
      <c r="B127" s="104" t="s">
        <v>6001</v>
      </c>
      <c r="C127" s="105" t="s">
        <v>6002</v>
      </c>
      <c r="D127" s="111" t="s">
        <v>111</v>
      </c>
      <c r="E127" s="111" t="s">
        <v>4626</v>
      </c>
      <c r="F127" s="111" t="s">
        <v>49</v>
      </c>
      <c r="G127" s="106"/>
      <c r="H127" s="106"/>
      <c r="I127" s="106"/>
      <c r="J127" s="105"/>
    </row>
    <row r="128" spans="1:10" ht="28">
      <c r="A128" s="103">
        <v>143</v>
      </c>
      <c r="B128" s="104" t="s">
        <v>6003</v>
      </c>
      <c r="C128" s="105" t="s">
        <v>6004</v>
      </c>
      <c r="D128" s="111" t="s">
        <v>111</v>
      </c>
      <c r="E128" s="111" t="s">
        <v>4626</v>
      </c>
      <c r="F128" s="111" t="s">
        <v>49</v>
      </c>
      <c r="G128" s="106"/>
      <c r="H128" s="106"/>
      <c r="I128" s="106"/>
      <c r="J128" s="105"/>
    </row>
    <row r="129" spans="1:10" ht="42">
      <c r="A129" s="103">
        <v>144</v>
      </c>
      <c r="B129" s="104" t="s">
        <v>6005</v>
      </c>
      <c r="C129" s="105" t="s">
        <v>6006</v>
      </c>
      <c r="D129" s="111" t="s">
        <v>111</v>
      </c>
      <c r="E129" s="111" t="s">
        <v>4626</v>
      </c>
      <c r="F129" s="111" t="s">
        <v>49</v>
      </c>
      <c r="G129" s="106"/>
      <c r="H129" s="106"/>
      <c r="I129" s="106"/>
      <c r="J129" s="105"/>
    </row>
    <row r="130" spans="1:10" ht="42">
      <c r="A130" s="103">
        <v>147</v>
      </c>
      <c r="B130" s="104" t="s">
        <v>6007</v>
      </c>
      <c r="C130" s="105" t="s">
        <v>6008</v>
      </c>
      <c r="D130" s="106" t="s">
        <v>111</v>
      </c>
      <c r="E130" s="106"/>
      <c r="F130" s="106" t="s">
        <v>49</v>
      </c>
      <c r="G130" s="106"/>
      <c r="H130" s="106"/>
      <c r="I130" s="106"/>
      <c r="J130" s="105"/>
    </row>
    <row r="131" spans="1:10" ht="42">
      <c r="A131" s="103">
        <v>149</v>
      </c>
      <c r="B131" s="104" t="s">
        <v>6009</v>
      </c>
      <c r="C131" s="105" t="s">
        <v>6010</v>
      </c>
      <c r="D131" s="106" t="s">
        <v>111</v>
      </c>
      <c r="E131" s="111" t="s">
        <v>4626</v>
      </c>
      <c r="F131" s="106" t="s">
        <v>49</v>
      </c>
      <c r="G131" s="106"/>
      <c r="H131" s="106"/>
      <c r="I131" s="106"/>
      <c r="J131" s="105"/>
    </row>
    <row r="132" spans="1:10" ht="42">
      <c r="A132" s="103">
        <v>150</v>
      </c>
      <c r="B132" s="104" t="s">
        <v>6011</v>
      </c>
      <c r="C132" s="105" t="s">
        <v>6012</v>
      </c>
      <c r="D132" s="111" t="s">
        <v>111</v>
      </c>
      <c r="E132" s="111"/>
      <c r="F132" s="111" t="s">
        <v>49</v>
      </c>
      <c r="G132" s="106"/>
      <c r="H132" s="106"/>
      <c r="I132" s="106"/>
      <c r="J132" s="105"/>
    </row>
    <row r="133" spans="1:10" ht="42">
      <c r="A133" s="103">
        <v>151</v>
      </c>
      <c r="B133" s="104" t="s">
        <v>6013</v>
      </c>
      <c r="C133" s="105" t="s">
        <v>6014</v>
      </c>
      <c r="D133" s="111" t="s">
        <v>111</v>
      </c>
      <c r="E133" s="111" t="s">
        <v>4626</v>
      </c>
      <c r="F133" s="111" t="s">
        <v>49</v>
      </c>
      <c r="G133" s="106"/>
      <c r="H133" s="106"/>
      <c r="I133" s="106"/>
      <c r="J133" s="105"/>
    </row>
    <row r="134" spans="1:10" ht="56">
      <c r="A134" s="103">
        <v>152</v>
      </c>
      <c r="B134" s="104" t="s">
        <v>6015</v>
      </c>
      <c r="C134" s="105" t="s">
        <v>6016</v>
      </c>
      <c r="D134" s="111" t="s">
        <v>111</v>
      </c>
      <c r="E134" s="111"/>
      <c r="F134" s="111" t="s">
        <v>49</v>
      </c>
      <c r="G134" s="106"/>
      <c r="H134" s="106"/>
      <c r="I134" s="106"/>
      <c r="J134" s="105"/>
    </row>
    <row r="135" spans="1:10" ht="28">
      <c r="A135" s="103">
        <v>153</v>
      </c>
      <c r="B135" s="104" t="s">
        <v>6017</v>
      </c>
      <c r="C135" s="105" t="s">
        <v>6018</v>
      </c>
      <c r="D135" s="111" t="s">
        <v>111</v>
      </c>
      <c r="E135" s="111" t="s">
        <v>4626</v>
      </c>
      <c r="F135" s="111" t="s">
        <v>49</v>
      </c>
      <c r="G135" s="106"/>
      <c r="H135" s="106"/>
      <c r="I135" s="106"/>
      <c r="J135" s="105"/>
    </row>
    <row r="136" spans="1:10" ht="28">
      <c r="A136" s="103">
        <v>154</v>
      </c>
      <c r="B136" s="104" t="s">
        <v>6019</v>
      </c>
      <c r="C136" s="105" t="s">
        <v>6020</v>
      </c>
      <c r="D136" s="111" t="s">
        <v>111</v>
      </c>
      <c r="E136" s="111"/>
      <c r="F136" s="111" t="s">
        <v>49</v>
      </c>
      <c r="G136" s="106"/>
      <c r="H136" s="106"/>
      <c r="I136" s="106"/>
      <c r="J136" s="105"/>
    </row>
    <row r="137" spans="1:10" ht="28">
      <c r="A137" s="103">
        <v>156</v>
      </c>
      <c r="B137" s="104" t="s">
        <v>6021</v>
      </c>
      <c r="C137" s="105" t="s">
        <v>6022</v>
      </c>
      <c r="D137" s="111" t="s">
        <v>111</v>
      </c>
      <c r="E137" s="111" t="s">
        <v>4626</v>
      </c>
      <c r="F137" s="111" t="s">
        <v>49</v>
      </c>
      <c r="G137" s="106"/>
      <c r="H137" s="106"/>
      <c r="I137" s="106"/>
      <c r="J137" s="105"/>
    </row>
    <row r="138" spans="1:10" ht="28">
      <c r="A138" s="103">
        <v>157</v>
      </c>
      <c r="B138" s="104" t="s">
        <v>6023</v>
      </c>
      <c r="C138" s="105" t="s">
        <v>6024</v>
      </c>
      <c r="D138" s="111" t="s">
        <v>111</v>
      </c>
      <c r="E138" s="111" t="s">
        <v>4626</v>
      </c>
      <c r="F138" s="111" t="s">
        <v>49</v>
      </c>
      <c r="G138" s="106"/>
      <c r="H138" s="106"/>
      <c r="I138" s="106"/>
      <c r="J138" s="105"/>
    </row>
    <row r="139" spans="1:10" ht="28">
      <c r="A139" s="103">
        <v>158</v>
      </c>
      <c r="B139" s="104" t="s">
        <v>6025</v>
      </c>
      <c r="C139" s="105" t="s">
        <v>6026</v>
      </c>
      <c r="D139" s="111" t="s">
        <v>111</v>
      </c>
      <c r="E139" s="111" t="s">
        <v>4626</v>
      </c>
      <c r="F139" s="111" t="s">
        <v>49</v>
      </c>
      <c r="G139" s="106"/>
      <c r="H139" s="106"/>
      <c r="I139" s="106"/>
      <c r="J139" s="105"/>
    </row>
    <row r="140" spans="1:10" ht="42">
      <c r="A140" s="103">
        <v>159</v>
      </c>
      <c r="B140" s="104" t="s">
        <v>6027</v>
      </c>
      <c r="C140" s="105" t="s">
        <v>6028</v>
      </c>
      <c r="D140" s="111" t="s">
        <v>111</v>
      </c>
      <c r="E140" s="111" t="s">
        <v>4626</v>
      </c>
      <c r="F140" s="111" t="s">
        <v>49</v>
      </c>
      <c r="G140" s="106"/>
      <c r="H140" s="106"/>
      <c r="I140" s="106"/>
      <c r="J140" s="105"/>
    </row>
    <row r="141" spans="1:10" ht="42">
      <c r="A141" s="103">
        <v>160</v>
      </c>
      <c r="B141" s="104" t="s">
        <v>6029</v>
      </c>
      <c r="C141" s="105" t="s">
        <v>6030</v>
      </c>
      <c r="D141" s="111" t="s">
        <v>111</v>
      </c>
      <c r="E141" s="111" t="s">
        <v>4626</v>
      </c>
      <c r="F141" s="111" t="s">
        <v>49</v>
      </c>
      <c r="G141" s="106"/>
      <c r="H141" s="106"/>
      <c r="I141" s="106"/>
      <c r="J141" s="105"/>
    </row>
    <row r="142" spans="1:10" ht="42">
      <c r="A142" s="103">
        <v>161</v>
      </c>
      <c r="B142" s="104" t="s">
        <v>6031</v>
      </c>
      <c r="C142" s="105" t="s">
        <v>6032</v>
      </c>
      <c r="D142" s="111" t="s">
        <v>111</v>
      </c>
      <c r="E142" s="111"/>
      <c r="F142" s="111" t="s">
        <v>49</v>
      </c>
      <c r="G142" s="106"/>
      <c r="H142" s="106"/>
      <c r="I142" s="106"/>
      <c r="J142" s="105"/>
    </row>
    <row r="143" spans="1:10" ht="28">
      <c r="A143" s="103">
        <v>162</v>
      </c>
      <c r="B143" s="104" t="s">
        <v>6033</v>
      </c>
      <c r="C143" s="105" t="s">
        <v>6034</v>
      </c>
      <c r="D143" s="111" t="s">
        <v>111</v>
      </c>
      <c r="E143" s="111"/>
      <c r="F143" s="111" t="s">
        <v>49</v>
      </c>
      <c r="G143" s="106"/>
      <c r="H143" s="106"/>
      <c r="I143" s="106"/>
      <c r="J143" s="105"/>
    </row>
    <row r="144" spans="1:10" ht="28">
      <c r="A144" s="103">
        <v>163</v>
      </c>
      <c r="B144" s="104" t="s">
        <v>6035</v>
      </c>
      <c r="C144" s="105" t="s">
        <v>6036</v>
      </c>
      <c r="D144" s="111" t="s">
        <v>111</v>
      </c>
      <c r="E144" s="111" t="s">
        <v>4626</v>
      </c>
      <c r="F144" s="111" t="s">
        <v>49</v>
      </c>
      <c r="G144" s="106"/>
      <c r="H144" s="106"/>
      <c r="I144" s="106"/>
      <c r="J144" s="105"/>
    </row>
    <row r="145" spans="1:10" ht="28">
      <c r="A145" s="103">
        <v>164</v>
      </c>
      <c r="B145" s="104" t="s">
        <v>4934</v>
      </c>
      <c r="C145" s="105" t="s">
        <v>6037</v>
      </c>
      <c r="D145" s="111" t="s">
        <v>111</v>
      </c>
      <c r="E145" s="111" t="s">
        <v>4626</v>
      </c>
      <c r="F145" s="111" t="s">
        <v>49</v>
      </c>
      <c r="G145" s="106"/>
      <c r="H145" s="106"/>
      <c r="I145" s="106"/>
      <c r="J145" s="105"/>
    </row>
    <row r="146" spans="1:10" ht="28">
      <c r="A146" s="103">
        <v>166</v>
      </c>
      <c r="B146" s="104" t="s">
        <v>6038</v>
      </c>
      <c r="C146" s="105" t="s">
        <v>6039</v>
      </c>
      <c r="D146" s="111" t="s">
        <v>111</v>
      </c>
      <c r="E146" s="111" t="s">
        <v>4626</v>
      </c>
      <c r="F146" s="111" t="s">
        <v>49</v>
      </c>
      <c r="G146" s="106"/>
      <c r="H146" s="106"/>
      <c r="I146" s="106"/>
      <c r="J146" s="105"/>
    </row>
    <row r="147" spans="1:10" ht="42">
      <c r="A147" s="103">
        <v>167</v>
      </c>
      <c r="B147" s="104" t="s">
        <v>6040</v>
      </c>
      <c r="C147" s="105" t="s">
        <v>6041</v>
      </c>
      <c r="D147" s="111" t="s">
        <v>111</v>
      </c>
      <c r="E147" s="111" t="s">
        <v>4626</v>
      </c>
      <c r="F147" s="111" t="s">
        <v>49</v>
      </c>
      <c r="G147" s="106"/>
      <c r="H147" s="106"/>
      <c r="I147" s="106"/>
      <c r="J147" s="105"/>
    </row>
    <row r="148" spans="1:10" ht="42">
      <c r="A148" s="103">
        <v>168</v>
      </c>
      <c r="B148" s="104" t="s">
        <v>525</v>
      </c>
      <c r="C148" s="105" t="s">
        <v>6042</v>
      </c>
      <c r="D148" s="111" t="s">
        <v>111</v>
      </c>
      <c r="E148" s="111" t="s">
        <v>4626</v>
      </c>
      <c r="F148" s="111" t="s">
        <v>49</v>
      </c>
      <c r="G148" s="106"/>
      <c r="H148" s="106"/>
      <c r="I148" s="106"/>
      <c r="J148" s="105"/>
    </row>
    <row r="149" spans="1:10" ht="42">
      <c r="A149" s="103">
        <v>170</v>
      </c>
      <c r="B149" s="104" t="s">
        <v>6043</v>
      </c>
      <c r="C149" s="105" t="s">
        <v>6044</v>
      </c>
      <c r="D149" s="111" t="s">
        <v>111</v>
      </c>
      <c r="E149" s="111" t="s">
        <v>4626</v>
      </c>
      <c r="F149" s="111" t="s">
        <v>49</v>
      </c>
      <c r="G149" s="106"/>
      <c r="H149" s="106"/>
      <c r="I149" s="106"/>
      <c r="J149" s="105"/>
    </row>
    <row r="150" spans="1:10" ht="42">
      <c r="A150" s="103">
        <v>172</v>
      </c>
      <c r="B150" s="104" t="s">
        <v>6045</v>
      </c>
      <c r="C150" s="105" t="s">
        <v>6046</v>
      </c>
      <c r="D150" s="111" t="s">
        <v>111</v>
      </c>
      <c r="E150" s="111" t="s">
        <v>4626</v>
      </c>
      <c r="F150" s="111" t="s">
        <v>49</v>
      </c>
      <c r="G150" s="106"/>
      <c r="H150" s="106"/>
      <c r="I150" s="106"/>
      <c r="J150" s="105"/>
    </row>
    <row r="151" spans="1:10" ht="42">
      <c r="A151" s="103">
        <v>173</v>
      </c>
      <c r="B151" s="104" t="s">
        <v>6047</v>
      </c>
      <c r="C151" s="105" t="s">
        <v>6048</v>
      </c>
      <c r="D151" s="111" t="s">
        <v>111</v>
      </c>
      <c r="E151" s="111" t="s">
        <v>4626</v>
      </c>
      <c r="F151" s="111" t="s">
        <v>49</v>
      </c>
      <c r="G151" s="106"/>
      <c r="H151" s="106"/>
      <c r="I151" s="106"/>
      <c r="J151" s="105"/>
    </row>
    <row r="152" spans="1:10" ht="42">
      <c r="A152" s="103">
        <v>174</v>
      </c>
      <c r="B152" s="104" t="s">
        <v>5187</v>
      </c>
      <c r="C152" s="105" t="s">
        <v>6049</v>
      </c>
      <c r="D152" s="111" t="s">
        <v>111</v>
      </c>
      <c r="E152" s="111" t="s">
        <v>4626</v>
      </c>
      <c r="F152" s="111" t="s">
        <v>49</v>
      </c>
      <c r="G152" s="106"/>
      <c r="H152" s="106"/>
      <c r="I152" s="106"/>
      <c r="J152" s="105"/>
    </row>
    <row r="153" spans="1:10" ht="42">
      <c r="A153" s="103">
        <v>175</v>
      </c>
      <c r="B153" s="104" t="s">
        <v>6050</v>
      </c>
      <c r="C153" s="105" t="s">
        <v>6051</v>
      </c>
      <c r="D153" s="111" t="s">
        <v>111</v>
      </c>
      <c r="E153" s="111" t="s">
        <v>4626</v>
      </c>
      <c r="F153" s="111" t="s">
        <v>49</v>
      </c>
      <c r="G153" s="106"/>
      <c r="H153" s="106"/>
      <c r="I153" s="106"/>
      <c r="J153" s="105"/>
    </row>
    <row r="154" spans="1:10" ht="42">
      <c r="A154" s="103">
        <v>180</v>
      </c>
      <c r="B154" s="104" t="s">
        <v>6052</v>
      </c>
      <c r="C154" s="105" t="s">
        <v>6053</v>
      </c>
      <c r="D154" s="111" t="s">
        <v>111</v>
      </c>
      <c r="E154" s="111"/>
      <c r="F154" s="111" t="s">
        <v>49</v>
      </c>
      <c r="G154" s="106"/>
      <c r="H154" s="106"/>
      <c r="I154" s="106"/>
      <c r="J154" s="105"/>
    </row>
    <row r="155" spans="1:10" ht="42">
      <c r="A155" s="103">
        <v>182</v>
      </c>
      <c r="B155" s="104" t="s">
        <v>6054</v>
      </c>
      <c r="C155" s="105" t="s">
        <v>6055</v>
      </c>
      <c r="D155" s="106" t="s">
        <v>111</v>
      </c>
      <c r="E155" s="111" t="s">
        <v>4626</v>
      </c>
      <c r="F155" s="106" t="s">
        <v>49</v>
      </c>
      <c r="G155" s="106"/>
      <c r="H155" s="106"/>
      <c r="I155" s="106"/>
      <c r="J155" s="105"/>
    </row>
    <row r="156" spans="1:10" ht="42">
      <c r="A156" s="103">
        <v>186</v>
      </c>
      <c r="B156" s="104" t="s">
        <v>6056</v>
      </c>
      <c r="C156" s="105" t="s">
        <v>6057</v>
      </c>
      <c r="D156" s="106" t="s">
        <v>111</v>
      </c>
      <c r="E156" s="111" t="s">
        <v>4626</v>
      </c>
      <c r="F156" s="106" t="s">
        <v>49</v>
      </c>
      <c r="G156" s="106"/>
      <c r="H156" s="106"/>
      <c r="I156" s="106"/>
      <c r="J156" s="105"/>
    </row>
    <row r="157" spans="1:10" ht="42">
      <c r="A157" s="103">
        <v>187</v>
      </c>
      <c r="B157" s="104" t="s">
        <v>6058</v>
      </c>
      <c r="C157" s="105" t="s">
        <v>6059</v>
      </c>
      <c r="D157" s="106" t="s">
        <v>111</v>
      </c>
      <c r="E157" s="111" t="s">
        <v>4626</v>
      </c>
      <c r="F157" s="106" t="s">
        <v>49</v>
      </c>
      <c r="G157" s="106"/>
      <c r="H157" s="106"/>
      <c r="I157" s="106"/>
      <c r="J157" s="105"/>
    </row>
    <row r="158" spans="1:10" ht="42">
      <c r="A158" s="103">
        <v>189</v>
      </c>
      <c r="B158" s="104" t="s">
        <v>6060</v>
      </c>
      <c r="C158" s="105" t="s">
        <v>6061</v>
      </c>
      <c r="D158" s="106" t="s">
        <v>111</v>
      </c>
      <c r="E158" s="111" t="s">
        <v>4626</v>
      </c>
      <c r="F158" s="106" t="s">
        <v>49</v>
      </c>
      <c r="G158" s="106"/>
      <c r="H158" s="106"/>
      <c r="I158" s="106"/>
      <c r="J158" s="105"/>
    </row>
    <row r="159" spans="1:10" ht="42">
      <c r="A159" s="103">
        <v>190</v>
      </c>
      <c r="B159" s="104" t="s">
        <v>6062</v>
      </c>
      <c r="C159" s="105" t="s">
        <v>6063</v>
      </c>
      <c r="D159" s="106" t="s">
        <v>111</v>
      </c>
      <c r="E159" s="111" t="s">
        <v>4626</v>
      </c>
      <c r="F159" s="106" t="s">
        <v>49</v>
      </c>
      <c r="G159" s="106"/>
      <c r="H159" s="106"/>
      <c r="I159" s="106"/>
      <c r="J159" s="105"/>
    </row>
    <row r="160" spans="1:10" ht="42">
      <c r="A160" s="103">
        <v>192</v>
      </c>
      <c r="B160" s="104" t="s">
        <v>6064</v>
      </c>
      <c r="C160" s="105" t="s">
        <v>6065</v>
      </c>
      <c r="D160" s="106" t="s">
        <v>111</v>
      </c>
      <c r="E160" s="111" t="s">
        <v>4626</v>
      </c>
      <c r="F160" s="106" t="s">
        <v>49</v>
      </c>
      <c r="G160" s="106"/>
      <c r="H160" s="106"/>
      <c r="I160" s="106"/>
      <c r="J160" s="105"/>
    </row>
    <row r="161" spans="1:10" ht="28">
      <c r="A161" s="103">
        <v>194</v>
      </c>
      <c r="B161" s="104" t="s">
        <v>6066</v>
      </c>
      <c r="C161" s="105" t="s">
        <v>6067</v>
      </c>
      <c r="D161" s="106" t="s">
        <v>111</v>
      </c>
      <c r="E161" s="111" t="s">
        <v>4626</v>
      </c>
      <c r="F161" s="106" t="s">
        <v>49</v>
      </c>
      <c r="G161" s="106"/>
      <c r="H161" s="106"/>
      <c r="I161" s="106"/>
      <c r="J161" s="105"/>
    </row>
    <row r="162" spans="1:10" ht="42">
      <c r="A162" s="103">
        <v>195</v>
      </c>
      <c r="B162" s="104" t="s">
        <v>6068</v>
      </c>
      <c r="C162" s="105" t="s">
        <v>6069</v>
      </c>
      <c r="D162" s="106" t="s">
        <v>111</v>
      </c>
      <c r="E162" s="111" t="s">
        <v>4626</v>
      </c>
      <c r="F162" s="106" t="s">
        <v>49</v>
      </c>
      <c r="G162" s="106"/>
      <c r="H162" s="106"/>
      <c r="I162" s="106"/>
      <c r="J162" s="105"/>
    </row>
    <row r="163" spans="1:10" ht="42">
      <c r="A163" s="103">
        <v>196</v>
      </c>
      <c r="B163" s="104" t="s">
        <v>6070</v>
      </c>
      <c r="C163" s="105" t="s">
        <v>6071</v>
      </c>
      <c r="D163" s="106" t="s">
        <v>111</v>
      </c>
      <c r="E163" s="111" t="s">
        <v>4626</v>
      </c>
      <c r="F163" s="106" t="s">
        <v>49</v>
      </c>
      <c r="G163" s="106"/>
      <c r="H163" s="106"/>
      <c r="I163" s="106"/>
      <c r="J163" s="105"/>
    </row>
    <row r="164" spans="1:10" ht="42">
      <c r="A164" s="103">
        <v>200</v>
      </c>
      <c r="B164" s="104" t="s">
        <v>6072</v>
      </c>
      <c r="C164" s="105" t="s">
        <v>6073</v>
      </c>
      <c r="D164" s="106" t="s">
        <v>111</v>
      </c>
      <c r="E164" s="106"/>
      <c r="F164" s="106" t="s">
        <v>49</v>
      </c>
      <c r="G164" s="106"/>
      <c r="H164" s="106"/>
      <c r="I164" s="106"/>
      <c r="J164" s="105"/>
    </row>
    <row r="165" spans="1:10" ht="42">
      <c r="A165" s="103">
        <v>201</v>
      </c>
      <c r="B165" s="104" t="s">
        <v>6074</v>
      </c>
      <c r="C165" s="114" t="s">
        <v>6075</v>
      </c>
      <c r="D165" s="106" t="s">
        <v>111</v>
      </c>
      <c r="E165" s="111" t="s">
        <v>4626</v>
      </c>
      <c r="F165" s="106" t="s">
        <v>49</v>
      </c>
      <c r="G165" s="106"/>
      <c r="H165" s="106"/>
      <c r="I165" s="106"/>
      <c r="J165" s="105"/>
    </row>
    <row r="166" spans="1:10" ht="42">
      <c r="A166" s="103">
        <v>202</v>
      </c>
      <c r="B166" s="104" t="s">
        <v>6076</v>
      </c>
      <c r="C166" s="105" t="s">
        <v>6077</v>
      </c>
      <c r="D166" s="106" t="s">
        <v>111</v>
      </c>
      <c r="E166" s="111" t="s">
        <v>4626</v>
      </c>
      <c r="F166" s="106" t="s">
        <v>49</v>
      </c>
      <c r="G166" s="106"/>
      <c r="H166" s="106"/>
      <c r="I166" s="106"/>
      <c r="J166" s="105"/>
    </row>
    <row r="167" spans="1:10">
      <c r="A167" s="107"/>
      <c r="B167" s="108"/>
      <c r="C167" s="112" t="s">
        <v>95</v>
      </c>
      <c r="D167" s="113">
        <f>COUNTA(D50:D166)</f>
        <v>117</v>
      </c>
      <c r="E167" s="110"/>
      <c r="F167" s="110"/>
      <c r="G167" s="110"/>
      <c r="H167" s="110"/>
      <c r="I167" s="110"/>
      <c r="J167" s="109"/>
    </row>
    <row r="168" spans="1:10">
      <c r="A168" s="107"/>
      <c r="B168" s="108"/>
      <c r="C168" s="109"/>
      <c r="D168" s="110"/>
      <c r="E168" s="110"/>
      <c r="F168" s="110"/>
      <c r="G168" s="110"/>
      <c r="H168" s="110"/>
      <c r="I168" s="110"/>
      <c r="J168" s="109"/>
    </row>
    <row r="169" spans="1:10" ht="28">
      <c r="A169" s="103">
        <v>46</v>
      </c>
      <c r="B169" s="104" t="s">
        <v>5034</v>
      </c>
      <c r="C169" s="105" t="s">
        <v>6078</v>
      </c>
      <c r="D169" s="106" t="s">
        <v>279</v>
      </c>
      <c r="E169" s="106"/>
      <c r="F169" s="106" t="s">
        <v>49</v>
      </c>
      <c r="G169" s="106"/>
      <c r="H169" s="106"/>
      <c r="I169" s="106"/>
      <c r="J169" s="105"/>
    </row>
    <row r="170" spans="1:10" ht="28">
      <c r="A170" s="103">
        <v>75</v>
      </c>
      <c r="B170" s="104" t="s">
        <v>6079</v>
      </c>
      <c r="C170" s="105" t="s">
        <v>6080</v>
      </c>
      <c r="D170" s="106" t="s">
        <v>279</v>
      </c>
      <c r="E170" s="111" t="s">
        <v>4626</v>
      </c>
      <c r="F170" s="106" t="s">
        <v>49</v>
      </c>
      <c r="G170" s="106"/>
      <c r="H170" s="106"/>
      <c r="I170" s="106"/>
      <c r="J170" s="105"/>
    </row>
    <row r="171" spans="1:10" ht="42">
      <c r="A171" s="103">
        <v>11</v>
      </c>
      <c r="B171" s="104" t="s">
        <v>6081</v>
      </c>
      <c r="C171" s="105" t="s">
        <v>6082</v>
      </c>
      <c r="D171" s="106" t="s">
        <v>279</v>
      </c>
      <c r="E171" s="106"/>
      <c r="F171" s="106" t="s">
        <v>49</v>
      </c>
      <c r="G171" s="106"/>
      <c r="H171" s="106"/>
      <c r="I171" s="106"/>
      <c r="J171" s="105"/>
    </row>
    <row r="172" spans="1:10" ht="42">
      <c r="A172" s="103">
        <v>20</v>
      </c>
      <c r="B172" s="104" t="s">
        <v>6083</v>
      </c>
      <c r="C172" s="105" t="s">
        <v>6084</v>
      </c>
      <c r="D172" s="106" t="s">
        <v>279</v>
      </c>
      <c r="E172" s="106"/>
      <c r="F172" s="106" t="s">
        <v>49</v>
      </c>
      <c r="G172" s="106"/>
      <c r="H172" s="106"/>
      <c r="I172" s="106"/>
      <c r="J172" s="105"/>
    </row>
    <row r="173" spans="1:10" ht="28">
      <c r="A173" s="103">
        <v>28</v>
      </c>
      <c r="B173" s="104" t="s">
        <v>6085</v>
      </c>
      <c r="C173" s="105" t="s">
        <v>6086</v>
      </c>
      <c r="D173" s="106" t="s">
        <v>279</v>
      </c>
      <c r="E173" s="106"/>
      <c r="F173" s="106" t="s">
        <v>49</v>
      </c>
      <c r="G173" s="106"/>
      <c r="H173" s="106"/>
      <c r="I173" s="106"/>
      <c r="J173" s="105"/>
    </row>
    <row r="174" spans="1:10" ht="28">
      <c r="A174" s="103">
        <v>33</v>
      </c>
      <c r="B174" s="104" t="s">
        <v>6087</v>
      </c>
      <c r="C174" s="105" t="s">
        <v>6088</v>
      </c>
      <c r="D174" s="106" t="s">
        <v>279</v>
      </c>
      <c r="E174" s="106"/>
      <c r="F174" s="106" t="s">
        <v>49</v>
      </c>
      <c r="G174" s="106"/>
      <c r="H174" s="106"/>
      <c r="I174" s="106"/>
      <c r="J174" s="105"/>
    </row>
    <row r="175" spans="1:10" ht="28">
      <c r="A175" s="103">
        <v>37</v>
      </c>
      <c r="B175" s="104" t="s">
        <v>6089</v>
      </c>
      <c r="C175" s="105" t="s">
        <v>6090</v>
      </c>
      <c r="D175" s="106" t="s">
        <v>279</v>
      </c>
      <c r="E175" s="106"/>
      <c r="F175" s="106" t="s">
        <v>49</v>
      </c>
      <c r="G175" s="106"/>
      <c r="H175" s="106"/>
      <c r="I175" s="106"/>
      <c r="J175" s="105"/>
    </row>
    <row r="176" spans="1:10" ht="28">
      <c r="A176" s="103">
        <v>41</v>
      </c>
      <c r="B176" s="104" t="s">
        <v>6091</v>
      </c>
      <c r="C176" s="105" t="s">
        <v>6092</v>
      </c>
      <c r="D176" s="106" t="s">
        <v>279</v>
      </c>
      <c r="E176" s="106"/>
      <c r="F176" s="106" t="s">
        <v>49</v>
      </c>
      <c r="G176" s="106"/>
      <c r="H176" s="106"/>
      <c r="I176" s="106"/>
      <c r="J176" s="105"/>
    </row>
    <row r="177" spans="1:10" ht="28">
      <c r="A177" s="103">
        <v>43</v>
      </c>
      <c r="B177" s="104" t="s">
        <v>6093</v>
      </c>
      <c r="C177" s="105" t="s">
        <v>6094</v>
      </c>
      <c r="D177" s="106" t="s">
        <v>279</v>
      </c>
      <c r="E177" s="106"/>
      <c r="F177" s="106" t="s">
        <v>49</v>
      </c>
      <c r="G177" s="106"/>
      <c r="H177" s="106"/>
      <c r="I177" s="106"/>
      <c r="J177" s="105"/>
    </row>
    <row r="178" spans="1:10" ht="28">
      <c r="A178" s="103">
        <v>51</v>
      </c>
      <c r="B178" s="104" t="s">
        <v>6095</v>
      </c>
      <c r="C178" s="105" t="s">
        <v>6096</v>
      </c>
      <c r="D178" s="106" t="s">
        <v>279</v>
      </c>
      <c r="E178" s="106"/>
      <c r="F178" s="106" t="s">
        <v>49</v>
      </c>
      <c r="G178" s="106"/>
      <c r="H178" s="106"/>
      <c r="I178" s="106"/>
      <c r="J178" s="105"/>
    </row>
    <row r="179" spans="1:10" ht="42">
      <c r="A179" s="103">
        <v>54</v>
      </c>
      <c r="B179" s="104" t="s">
        <v>6097</v>
      </c>
      <c r="C179" s="105" t="s">
        <v>6098</v>
      </c>
      <c r="D179" s="106" t="s">
        <v>279</v>
      </c>
      <c r="E179" s="106"/>
      <c r="F179" s="106" t="s">
        <v>49</v>
      </c>
      <c r="G179" s="106"/>
      <c r="H179" s="106"/>
      <c r="I179" s="106"/>
      <c r="J179" s="105"/>
    </row>
    <row r="180" spans="1:10" ht="56">
      <c r="A180" s="103">
        <v>55</v>
      </c>
      <c r="B180" s="104" t="s">
        <v>6099</v>
      </c>
      <c r="C180" s="105" t="s">
        <v>6100</v>
      </c>
      <c r="D180" s="106" t="s">
        <v>279</v>
      </c>
      <c r="E180" s="106"/>
      <c r="F180" s="106" t="s">
        <v>49</v>
      </c>
      <c r="G180" s="106"/>
      <c r="H180" s="106"/>
      <c r="I180" s="106"/>
      <c r="J180" s="105"/>
    </row>
    <row r="181" spans="1:10" ht="28">
      <c r="A181" s="103">
        <v>58</v>
      </c>
      <c r="B181" s="104" t="s">
        <v>5821</v>
      </c>
      <c r="C181" s="105" t="s">
        <v>6101</v>
      </c>
      <c r="D181" s="106" t="s">
        <v>279</v>
      </c>
      <c r="E181" s="106"/>
      <c r="F181" s="106" t="s">
        <v>49</v>
      </c>
      <c r="G181" s="106"/>
      <c r="H181" s="106"/>
      <c r="I181" s="106"/>
      <c r="J181" s="105"/>
    </row>
    <row r="182" spans="1:10" ht="28">
      <c r="A182" s="103">
        <v>72</v>
      </c>
      <c r="B182" s="104" t="s">
        <v>5954</v>
      </c>
      <c r="C182" s="105" t="s">
        <v>6102</v>
      </c>
      <c r="D182" s="106" t="s">
        <v>279</v>
      </c>
      <c r="E182" s="111"/>
      <c r="F182" s="106" t="s">
        <v>49</v>
      </c>
      <c r="G182" s="106"/>
      <c r="H182" s="106"/>
      <c r="I182" s="106"/>
      <c r="J182" s="105"/>
    </row>
    <row r="183" spans="1:10" ht="28">
      <c r="A183" s="103">
        <v>77</v>
      </c>
      <c r="B183" s="104" t="s">
        <v>6103</v>
      </c>
      <c r="C183" s="105" t="s">
        <v>6104</v>
      </c>
      <c r="D183" s="106" t="s">
        <v>279</v>
      </c>
      <c r="E183" s="111"/>
      <c r="F183" s="106" t="s">
        <v>49</v>
      </c>
      <c r="G183" s="106"/>
      <c r="H183" s="106"/>
      <c r="I183" s="106"/>
      <c r="J183" s="105"/>
    </row>
    <row r="184" spans="1:10" ht="28">
      <c r="A184" s="103">
        <v>79</v>
      </c>
      <c r="B184" s="104" t="s">
        <v>6105</v>
      </c>
      <c r="C184" s="105" t="s">
        <v>6106</v>
      </c>
      <c r="D184" s="106" t="s">
        <v>279</v>
      </c>
      <c r="E184" s="111"/>
      <c r="F184" s="106" t="s">
        <v>49</v>
      </c>
      <c r="G184" s="106"/>
      <c r="H184" s="106"/>
      <c r="I184" s="106"/>
      <c r="J184" s="105"/>
    </row>
    <row r="185" spans="1:10" ht="28">
      <c r="A185" s="103">
        <v>83</v>
      </c>
      <c r="B185" s="104" t="s">
        <v>6107</v>
      </c>
      <c r="C185" s="105" t="s">
        <v>6108</v>
      </c>
      <c r="D185" s="106" t="s">
        <v>279</v>
      </c>
      <c r="E185" s="111"/>
      <c r="F185" s="106" t="s">
        <v>49</v>
      </c>
      <c r="G185" s="106"/>
      <c r="H185" s="106"/>
      <c r="I185" s="106"/>
      <c r="J185" s="105"/>
    </row>
    <row r="186" spans="1:10" ht="28">
      <c r="A186" s="103">
        <v>95</v>
      </c>
      <c r="B186" s="104" t="s">
        <v>6109</v>
      </c>
      <c r="C186" s="105" t="s">
        <v>6110</v>
      </c>
      <c r="D186" s="106" t="s">
        <v>279</v>
      </c>
      <c r="E186" s="111"/>
      <c r="F186" s="106" t="s">
        <v>49</v>
      </c>
      <c r="G186" s="106"/>
      <c r="H186" s="106"/>
      <c r="I186" s="106"/>
      <c r="J186" s="105"/>
    </row>
    <row r="187" spans="1:10" ht="28">
      <c r="A187" s="103">
        <v>96</v>
      </c>
      <c r="B187" s="104" t="s">
        <v>6111</v>
      </c>
      <c r="C187" s="105" t="s">
        <v>6112</v>
      </c>
      <c r="D187" s="106" t="s">
        <v>279</v>
      </c>
      <c r="E187" s="111"/>
      <c r="F187" s="106" t="s">
        <v>49</v>
      </c>
      <c r="G187" s="106"/>
      <c r="H187" s="106"/>
      <c r="I187" s="106"/>
      <c r="J187" s="105"/>
    </row>
    <row r="188" spans="1:10" ht="28">
      <c r="A188" s="103">
        <v>98</v>
      </c>
      <c r="B188" s="104" t="s">
        <v>699</v>
      </c>
      <c r="C188" s="105" t="s">
        <v>6113</v>
      </c>
      <c r="D188" s="106" t="s">
        <v>279</v>
      </c>
      <c r="E188" s="111"/>
      <c r="F188" s="106" t="s">
        <v>49</v>
      </c>
      <c r="G188" s="106"/>
      <c r="H188" s="106"/>
      <c r="I188" s="106"/>
      <c r="J188" s="105"/>
    </row>
    <row r="189" spans="1:10" ht="28">
      <c r="A189" s="103">
        <v>99</v>
      </c>
      <c r="B189" s="104" t="s">
        <v>6114</v>
      </c>
      <c r="C189" s="105" t="s">
        <v>6115</v>
      </c>
      <c r="D189" s="106" t="s">
        <v>279</v>
      </c>
      <c r="E189" s="111"/>
      <c r="F189" s="106" t="s">
        <v>49</v>
      </c>
      <c r="G189" s="106"/>
      <c r="H189" s="106"/>
      <c r="I189" s="106"/>
      <c r="J189" s="105"/>
    </row>
    <row r="190" spans="1:10" ht="42">
      <c r="A190" s="103">
        <v>100</v>
      </c>
      <c r="B190" s="104" t="s">
        <v>6116</v>
      </c>
      <c r="C190" s="105" t="s">
        <v>6117</v>
      </c>
      <c r="D190" s="106" t="s">
        <v>279</v>
      </c>
      <c r="E190" s="111"/>
      <c r="F190" s="106" t="s">
        <v>49</v>
      </c>
      <c r="G190" s="106"/>
      <c r="H190" s="106"/>
      <c r="I190" s="106"/>
      <c r="J190" s="105"/>
    </row>
    <row r="191" spans="1:10" ht="28">
      <c r="A191" s="103">
        <v>101</v>
      </c>
      <c r="B191" s="104" t="s">
        <v>6118</v>
      </c>
      <c r="C191" s="105" t="s">
        <v>6119</v>
      </c>
      <c r="D191" s="106" t="s">
        <v>279</v>
      </c>
      <c r="E191" s="111"/>
      <c r="F191" s="106" t="s">
        <v>49</v>
      </c>
      <c r="G191" s="106"/>
      <c r="H191" s="106"/>
      <c r="I191" s="106"/>
      <c r="J191" s="105"/>
    </row>
    <row r="192" spans="1:10" ht="28">
      <c r="A192" s="103">
        <v>102</v>
      </c>
      <c r="B192" s="104" t="s">
        <v>6120</v>
      </c>
      <c r="C192" s="105" t="s">
        <v>6121</v>
      </c>
      <c r="D192" s="106" t="s">
        <v>279</v>
      </c>
      <c r="E192" s="111"/>
      <c r="F192" s="106" t="s">
        <v>49</v>
      </c>
      <c r="G192" s="106"/>
      <c r="H192" s="106"/>
      <c r="I192" s="106"/>
      <c r="J192" s="105"/>
    </row>
    <row r="193" spans="1:10" ht="28">
      <c r="A193" s="103">
        <v>103</v>
      </c>
      <c r="B193" s="104" t="s">
        <v>6122</v>
      </c>
      <c r="C193" s="105" t="s">
        <v>6123</v>
      </c>
      <c r="D193" s="106" t="s">
        <v>279</v>
      </c>
      <c r="E193" s="111"/>
      <c r="F193" s="106" t="s">
        <v>49</v>
      </c>
      <c r="G193" s="106"/>
      <c r="H193" s="106"/>
      <c r="I193" s="106"/>
      <c r="J193" s="105"/>
    </row>
    <row r="194" spans="1:10" ht="42">
      <c r="A194" s="103">
        <v>109</v>
      </c>
      <c r="B194" s="104" t="s">
        <v>6124</v>
      </c>
      <c r="C194" s="105" t="s">
        <v>6125</v>
      </c>
      <c r="D194" s="106" t="s">
        <v>279</v>
      </c>
      <c r="E194" s="111"/>
      <c r="F194" s="106" t="s">
        <v>49</v>
      </c>
      <c r="G194" s="106"/>
      <c r="H194" s="106"/>
      <c r="I194" s="106"/>
      <c r="J194" s="105"/>
    </row>
    <row r="195" spans="1:10" ht="28">
      <c r="A195" s="103">
        <v>111</v>
      </c>
      <c r="B195" s="104" t="s">
        <v>6126</v>
      </c>
      <c r="C195" s="105" t="s">
        <v>6127</v>
      </c>
      <c r="D195" s="106" t="s">
        <v>279</v>
      </c>
      <c r="E195" s="111"/>
      <c r="F195" s="106" t="s">
        <v>49</v>
      </c>
      <c r="G195" s="106"/>
      <c r="H195" s="106"/>
      <c r="I195" s="106"/>
      <c r="J195" s="105"/>
    </row>
    <row r="196" spans="1:10" ht="28">
      <c r="A196" s="103">
        <v>120</v>
      </c>
      <c r="B196" s="104" t="s">
        <v>6128</v>
      </c>
      <c r="C196" s="105" t="s">
        <v>6129</v>
      </c>
      <c r="D196" s="106" t="s">
        <v>279</v>
      </c>
      <c r="E196" s="111"/>
      <c r="F196" s="106" t="s">
        <v>49</v>
      </c>
      <c r="G196" s="106"/>
      <c r="H196" s="106"/>
      <c r="I196" s="106"/>
      <c r="J196" s="105"/>
    </row>
    <row r="197" spans="1:10" ht="42">
      <c r="A197" s="103">
        <v>121</v>
      </c>
      <c r="B197" s="104" t="s">
        <v>6130</v>
      </c>
      <c r="C197" s="105" t="s">
        <v>6131</v>
      </c>
      <c r="D197" s="106" t="s">
        <v>279</v>
      </c>
      <c r="E197" s="111"/>
      <c r="F197" s="106" t="s">
        <v>49</v>
      </c>
      <c r="G197" s="106"/>
      <c r="H197" s="106"/>
      <c r="I197" s="106"/>
      <c r="J197" s="105"/>
    </row>
    <row r="198" spans="1:10" ht="28">
      <c r="A198" s="103">
        <v>122</v>
      </c>
      <c r="B198" s="104" t="s">
        <v>6132</v>
      </c>
      <c r="C198" s="105" t="s">
        <v>6133</v>
      </c>
      <c r="D198" s="106" t="s">
        <v>279</v>
      </c>
      <c r="E198" s="111"/>
      <c r="F198" s="106" t="s">
        <v>49</v>
      </c>
      <c r="G198" s="106"/>
      <c r="H198" s="106"/>
      <c r="I198" s="106"/>
      <c r="J198" s="105"/>
    </row>
    <row r="199" spans="1:10" ht="28">
      <c r="A199" s="103">
        <v>123</v>
      </c>
      <c r="B199" s="104" t="s">
        <v>6134</v>
      </c>
      <c r="C199" s="105" t="s">
        <v>6135</v>
      </c>
      <c r="D199" s="106" t="s">
        <v>279</v>
      </c>
      <c r="E199" s="111"/>
      <c r="F199" s="106" t="s">
        <v>49</v>
      </c>
      <c r="G199" s="106"/>
      <c r="H199" s="106"/>
      <c r="I199" s="106"/>
      <c r="J199" s="105"/>
    </row>
    <row r="200" spans="1:10" ht="28">
      <c r="A200" s="103">
        <v>124</v>
      </c>
      <c r="B200" s="104" t="s">
        <v>6136</v>
      </c>
      <c r="C200" s="105" t="s">
        <v>6137</v>
      </c>
      <c r="D200" s="106" t="s">
        <v>279</v>
      </c>
      <c r="E200" s="111"/>
      <c r="F200" s="106" t="s">
        <v>49</v>
      </c>
      <c r="G200" s="106"/>
      <c r="H200" s="106"/>
      <c r="I200" s="106"/>
      <c r="J200" s="105"/>
    </row>
    <row r="201" spans="1:10" ht="28">
      <c r="A201" s="103">
        <v>128</v>
      </c>
      <c r="B201" s="104" t="s">
        <v>6138</v>
      </c>
      <c r="C201" s="105" t="s">
        <v>6139</v>
      </c>
      <c r="D201" s="106" t="s">
        <v>279</v>
      </c>
      <c r="E201" s="111"/>
      <c r="F201" s="106" t="s">
        <v>49</v>
      </c>
      <c r="G201" s="106"/>
      <c r="H201" s="106"/>
      <c r="I201" s="106"/>
      <c r="J201" s="105"/>
    </row>
    <row r="202" spans="1:10" ht="28">
      <c r="A202" s="103">
        <v>131</v>
      </c>
      <c r="B202" s="104" t="s">
        <v>6140</v>
      </c>
      <c r="C202" s="105" t="s">
        <v>6141</v>
      </c>
      <c r="D202" s="106" t="s">
        <v>279</v>
      </c>
      <c r="E202" s="111"/>
      <c r="F202" s="111" t="s">
        <v>49</v>
      </c>
      <c r="G202" s="106"/>
      <c r="H202" s="106"/>
      <c r="I202" s="106"/>
      <c r="J202" s="105"/>
    </row>
    <row r="203" spans="1:10" ht="28">
      <c r="A203" s="103">
        <v>132</v>
      </c>
      <c r="B203" s="104" t="s">
        <v>6142</v>
      </c>
      <c r="C203" s="105" t="s">
        <v>6143</v>
      </c>
      <c r="D203" s="106" t="s">
        <v>279</v>
      </c>
      <c r="E203" s="111"/>
      <c r="F203" s="111" t="s">
        <v>49</v>
      </c>
      <c r="G203" s="106"/>
      <c r="H203" s="106"/>
      <c r="I203" s="106"/>
      <c r="J203" s="105"/>
    </row>
    <row r="204" spans="1:10" ht="28">
      <c r="A204" s="103">
        <v>136</v>
      </c>
      <c r="B204" s="104" t="s">
        <v>6144</v>
      </c>
      <c r="C204" s="105" t="s">
        <v>6145</v>
      </c>
      <c r="D204" s="106" t="s">
        <v>279</v>
      </c>
      <c r="E204" s="111"/>
      <c r="F204" s="111" t="s">
        <v>49</v>
      </c>
      <c r="G204" s="106"/>
      <c r="H204" s="106"/>
      <c r="I204" s="106"/>
      <c r="J204" s="105"/>
    </row>
    <row r="205" spans="1:10" ht="28">
      <c r="A205" s="103">
        <v>137</v>
      </c>
      <c r="B205" s="104" t="s">
        <v>521</v>
      </c>
      <c r="C205" s="105" t="s">
        <v>6146</v>
      </c>
      <c r="D205" s="106" t="s">
        <v>279</v>
      </c>
      <c r="E205" s="111"/>
      <c r="F205" s="111" t="s">
        <v>49</v>
      </c>
      <c r="G205" s="106"/>
      <c r="H205" s="106"/>
      <c r="I205" s="106"/>
      <c r="J205" s="105"/>
    </row>
    <row r="206" spans="1:10" ht="28">
      <c r="A206" s="103">
        <v>140</v>
      </c>
      <c r="B206" s="104" t="s">
        <v>6147</v>
      </c>
      <c r="C206" s="105" t="s">
        <v>6148</v>
      </c>
      <c r="D206" s="106" t="s">
        <v>279</v>
      </c>
      <c r="E206" s="111"/>
      <c r="F206" s="111" t="s">
        <v>49</v>
      </c>
      <c r="G206" s="106"/>
      <c r="H206" s="106"/>
      <c r="I206" s="106"/>
      <c r="J206" s="105"/>
    </row>
    <row r="207" spans="1:10" ht="28">
      <c r="A207" s="103">
        <v>142</v>
      </c>
      <c r="B207" s="104" t="s">
        <v>6149</v>
      </c>
      <c r="C207" s="105" t="s">
        <v>6150</v>
      </c>
      <c r="D207" s="106" t="s">
        <v>279</v>
      </c>
      <c r="E207" s="111"/>
      <c r="F207" s="111" t="s">
        <v>49</v>
      </c>
      <c r="G207" s="106"/>
      <c r="H207" s="106"/>
      <c r="I207" s="106"/>
      <c r="J207" s="105"/>
    </row>
    <row r="208" spans="1:10" ht="28">
      <c r="A208" s="103">
        <v>145</v>
      </c>
      <c r="B208" s="104" t="s">
        <v>6151</v>
      </c>
      <c r="C208" s="105" t="s">
        <v>6152</v>
      </c>
      <c r="D208" s="106" t="s">
        <v>279</v>
      </c>
      <c r="E208" s="111"/>
      <c r="F208" s="111" t="s">
        <v>49</v>
      </c>
      <c r="G208" s="106"/>
      <c r="H208" s="106"/>
      <c r="I208" s="106"/>
      <c r="J208" s="105"/>
    </row>
    <row r="209" spans="1:10" ht="28">
      <c r="A209" s="103">
        <v>146</v>
      </c>
      <c r="B209" s="104" t="s">
        <v>6153</v>
      </c>
      <c r="C209" s="105" t="s">
        <v>6154</v>
      </c>
      <c r="D209" s="106" t="s">
        <v>279</v>
      </c>
      <c r="E209" s="111"/>
      <c r="F209" s="111" t="s">
        <v>49</v>
      </c>
      <c r="G209" s="106"/>
      <c r="H209" s="106"/>
      <c r="I209" s="106"/>
      <c r="J209" s="105"/>
    </row>
    <row r="210" spans="1:10" ht="42">
      <c r="A210" s="103">
        <v>148</v>
      </c>
      <c r="B210" s="104" t="s">
        <v>6155</v>
      </c>
      <c r="C210" s="105" t="s">
        <v>6156</v>
      </c>
      <c r="D210" s="106" t="s">
        <v>279</v>
      </c>
      <c r="E210" s="111"/>
      <c r="F210" s="111" t="s">
        <v>49</v>
      </c>
      <c r="G210" s="106"/>
      <c r="H210" s="106"/>
      <c r="I210" s="106"/>
      <c r="J210" s="105"/>
    </row>
    <row r="211" spans="1:10" ht="42">
      <c r="A211" s="103">
        <v>155</v>
      </c>
      <c r="B211" s="104" t="s">
        <v>6157</v>
      </c>
      <c r="C211" s="105" t="s">
        <v>6158</v>
      </c>
      <c r="D211" s="106" t="s">
        <v>279</v>
      </c>
      <c r="E211" s="111"/>
      <c r="F211" s="106" t="s">
        <v>49</v>
      </c>
      <c r="G211" s="106"/>
      <c r="H211" s="106"/>
      <c r="I211" s="106"/>
      <c r="J211" s="105"/>
    </row>
    <row r="212" spans="1:10" ht="42">
      <c r="A212" s="103">
        <v>171</v>
      </c>
      <c r="B212" s="104" t="s">
        <v>6159</v>
      </c>
      <c r="C212" s="105" t="s">
        <v>6160</v>
      </c>
      <c r="D212" s="106" t="s">
        <v>279</v>
      </c>
      <c r="E212" s="111"/>
      <c r="F212" s="106" t="s">
        <v>49</v>
      </c>
      <c r="G212" s="106"/>
      <c r="H212" s="106"/>
      <c r="I212" s="106"/>
      <c r="J212" s="105"/>
    </row>
    <row r="213" spans="1:10" ht="56">
      <c r="A213" s="103">
        <v>176</v>
      </c>
      <c r="B213" s="104" t="s">
        <v>6161</v>
      </c>
      <c r="C213" s="105" t="s">
        <v>6162</v>
      </c>
      <c r="D213" s="106" t="s">
        <v>279</v>
      </c>
      <c r="E213" s="111"/>
      <c r="F213" s="106" t="s">
        <v>49</v>
      </c>
      <c r="G213" s="106"/>
      <c r="H213" s="106"/>
      <c r="I213" s="106"/>
      <c r="J213" s="105"/>
    </row>
    <row r="214" spans="1:10" ht="42">
      <c r="A214" s="103">
        <v>177</v>
      </c>
      <c r="B214" s="104" t="s">
        <v>6163</v>
      </c>
      <c r="C214" s="105" t="s">
        <v>6164</v>
      </c>
      <c r="D214" s="106" t="s">
        <v>279</v>
      </c>
      <c r="E214" s="111"/>
      <c r="F214" s="106" t="s">
        <v>49</v>
      </c>
      <c r="G214" s="106"/>
      <c r="H214" s="106"/>
      <c r="I214" s="106"/>
      <c r="J214" s="105"/>
    </row>
    <row r="215" spans="1:10" ht="42">
      <c r="A215" s="103">
        <v>178</v>
      </c>
      <c r="B215" s="104" t="s">
        <v>469</v>
      </c>
      <c r="C215" s="105" t="s">
        <v>6165</v>
      </c>
      <c r="D215" s="106" t="s">
        <v>279</v>
      </c>
      <c r="E215" s="111"/>
      <c r="F215" s="106" t="s">
        <v>49</v>
      </c>
      <c r="G215" s="106"/>
      <c r="H215" s="106"/>
      <c r="I215" s="106"/>
      <c r="J215" s="105"/>
    </row>
    <row r="216" spans="1:10" ht="42">
      <c r="A216" s="103">
        <v>179</v>
      </c>
      <c r="B216" s="104" t="s">
        <v>6166</v>
      </c>
      <c r="C216" s="105" t="s">
        <v>6167</v>
      </c>
      <c r="D216" s="106" t="s">
        <v>279</v>
      </c>
      <c r="E216" s="111"/>
      <c r="F216" s="106" t="s">
        <v>49</v>
      </c>
      <c r="G216" s="106"/>
      <c r="H216" s="106"/>
      <c r="I216" s="106"/>
      <c r="J216" s="105"/>
    </row>
    <row r="217" spans="1:10" ht="42">
      <c r="A217" s="103">
        <v>181</v>
      </c>
      <c r="B217" s="104" t="s">
        <v>6168</v>
      </c>
      <c r="C217" s="105" t="s">
        <v>6169</v>
      </c>
      <c r="D217" s="106" t="s">
        <v>279</v>
      </c>
      <c r="E217" s="111"/>
      <c r="F217" s="106" t="s">
        <v>49</v>
      </c>
      <c r="G217" s="106"/>
      <c r="H217" s="106"/>
      <c r="I217" s="106"/>
      <c r="J217" s="105"/>
    </row>
    <row r="218" spans="1:10" ht="42">
      <c r="A218" s="103">
        <v>183</v>
      </c>
      <c r="B218" s="104" t="s">
        <v>6170</v>
      </c>
      <c r="C218" s="105" t="s">
        <v>6171</v>
      </c>
      <c r="D218" s="106" t="s">
        <v>279</v>
      </c>
      <c r="E218" s="111"/>
      <c r="F218" s="106" t="s">
        <v>49</v>
      </c>
      <c r="G218" s="106"/>
      <c r="H218" s="106"/>
      <c r="I218" s="106"/>
      <c r="J218" s="105"/>
    </row>
    <row r="219" spans="1:10" ht="42">
      <c r="A219" s="103">
        <v>184</v>
      </c>
      <c r="B219" s="104" t="s">
        <v>6172</v>
      </c>
      <c r="C219" s="105" t="s">
        <v>6173</v>
      </c>
      <c r="D219" s="106" t="s">
        <v>279</v>
      </c>
      <c r="E219" s="111"/>
      <c r="F219" s="106" t="s">
        <v>49</v>
      </c>
      <c r="G219" s="106"/>
      <c r="H219" s="106"/>
      <c r="I219" s="106"/>
      <c r="J219" s="105"/>
    </row>
    <row r="220" spans="1:10" ht="42">
      <c r="A220" s="103">
        <v>197</v>
      </c>
      <c r="B220" s="104" t="s">
        <v>6174</v>
      </c>
      <c r="C220" s="105" t="s">
        <v>6175</v>
      </c>
      <c r="D220" s="106" t="s">
        <v>279</v>
      </c>
      <c r="E220" s="111"/>
      <c r="F220" s="106" t="s">
        <v>49</v>
      </c>
      <c r="G220" s="106"/>
      <c r="H220" s="106"/>
      <c r="I220" s="106"/>
      <c r="J220" s="105"/>
    </row>
    <row r="221" spans="1:10" ht="28">
      <c r="A221" s="103">
        <v>198</v>
      </c>
      <c r="B221" s="104" t="s">
        <v>6176</v>
      </c>
      <c r="C221" s="105" t="s">
        <v>6177</v>
      </c>
      <c r="D221" s="106" t="s">
        <v>279</v>
      </c>
      <c r="E221" s="111"/>
      <c r="F221" s="106" t="s">
        <v>49</v>
      </c>
      <c r="G221" s="106"/>
      <c r="H221" s="106"/>
      <c r="I221" s="106"/>
      <c r="J221" s="105"/>
    </row>
    <row r="222" spans="1:10" ht="42">
      <c r="A222" s="103">
        <v>199</v>
      </c>
      <c r="B222" s="104" t="s">
        <v>6178</v>
      </c>
      <c r="C222" s="105" t="s">
        <v>6179</v>
      </c>
      <c r="D222" s="106" t="s">
        <v>279</v>
      </c>
      <c r="E222" s="111"/>
      <c r="F222" s="106" t="s">
        <v>49</v>
      </c>
      <c r="G222" s="106"/>
      <c r="H222" s="106"/>
      <c r="I222" s="106"/>
      <c r="J222" s="105"/>
    </row>
    <row r="223" spans="1:10" ht="42">
      <c r="A223" s="103">
        <v>203</v>
      </c>
      <c r="B223" s="104" t="s">
        <v>6180</v>
      </c>
      <c r="C223" s="105" t="s">
        <v>6181</v>
      </c>
      <c r="D223" s="106" t="s">
        <v>279</v>
      </c>
      <c r="E223" s="111"/>
      <c r="F223" s="106" t="s">
        <v>49</v>
      </c>
      <c r="G223" s="106"/>
      <c r="H223" s="106"/>
      <c r="I223" s="106"/>
      <c r="J223" s="105"/>
    </row>
    <row r="224" spans="1:10" ht="42">
      <c r="A224" s="103">
        <v>204</v>
      </c>
      <c r="B224" s="104" t="s">
        <v>6182</v>
      </c>
      <c r="C224" s="105" t="s">
        <v>6183</v>
      </c>
      <c r="D224" s="106" t="s">
        <v>279</v>
      </c>
      <c r="E224" s="111"/>
      <c r="F224" s="106" t="s">
        <v>49</v>
      </c>
      <c r="G224" s="106"/>
      <c r="H224" s="106"/>
      <c r="I224" s="106"/>
      <c r="J224" s="105"/>
    </row>
    <row r="225" spans="1:10" ht="15">
      <c r="C225" s="112" t="s">
        <v>95</v>
      </c>
      <c r="D225" s="115">
        <f>COUNTA(D169:D224)</f>
        <v>56</v>
      </c>
    </row>
    <row r="228" spans="1:10" ht="42">
      <c r="A228" s="101" t="s">
        <v>35</v>
      </c>
      <c r="B228" s="102" t="s">
        <v>36</v>
      </c>
      <c r="C228" s="102" t="s">
        <v>37</v>
      </c>
      <c r="D228" s="101" t="s">
        <v>38</v>
      </c>
      <c r="E228" s="101" t="s">
        <v>39</v>
      </c>
      <c r="F228" s="101" t="s">
        <v>40</v>
      </c>
      <c r="G228" s="101" t="s">
        <v>41</v>
      </c>
      <c r="H228" s="101" t="s">
        <v>42</v>
      </c>
      <c r="I228" s="101" t="s">
        <v>1466</v>
      </c>
      <c r="J228" s="102" t="s">
        <v>5808</v>
      </c>
    </row>
    <row r="229" spans="1:10" ht="42">
      <c r="A229" s="103">
        <v>29</v>
      </c>
      <c r="B229" s="104" t="s">
        <v>619</v>
      </c>
      <c r="C229" s="105" t="s">
        <v>6184</v>
      </c>
      <c r="D229" s="106"/>
      <c r="E229" s="106"/>
      <c r="F229" s="106" t="s">
        <v>78</v>
      </c>
      <c r="G229" s="106" t="s">
        <v>79</v>
      </c>
      <c r="H229" s="106" t="s">
        <v>100</v>
      </c>
      <c r="I229" s="106" t="s">
        <v>49</v>
      </c>
      <c r="J229" s="105"/>
    </row>
    <row r="230" spans="1:10" ht="56">
      <c r="A230" s="103">
        <v>73</v>
      </c>
      <c r="B230" s="104" t="s">
        <v>6185</v>
      </c>
      <c r="C230" s="105" t="s">
        <v>6186</v>
      </c>
      <c r="D230" s="106"/>
      <c r="E230" s="106"/>
      <c r="F230" s="106" t="s">
        <v>78</v>
      </c>
      <c r="G230" s="106" t="s">
        <v>79</v>
      </c>
      <c r="H230" s="106" t="s">
        <v>100</v>
      </c>
      <c r="I230" s="106" t="s">
        <v>49</v>
      </c>
      <c r="J230" s="105"/>
    </row>
    <row r="231" spans="1:10" ht="42">
      <c r="A231" s="107">
        <v>205</v>
      </c>
      <c r="B231" s="108" t="s">
        <v>6187</v>
      </c>
      <c r="C231" s="109" t="s">
        <v>6188</v>
      </c>
      <c r="D231" s="110"/>
      <c r="E231" s="110"/>
      <c r="F231" s="110" t="s">
        <v>78</v>
      </c>
      <c r="G231" s="110" t="s">
        <v>167</v>
      </c>
      <c r="H231" s="110" t="s">
        <v>47</v>
      </c>
      <c r="I231" s="110" t="s">
        <v>49</v>
      </c>
      <c r="J231" s="109"/>
    </row>
    <row r="232" spans="1:10" ht="42">
      <c r="A232" s="107">
        <v>206</v>
      </c>
      <c r="B232" s="108" t="s">
        <v>6189</v>
      </c>
      <c r="C232" s="109" t="s">
        <v>6190</v>
      </c>
      <c r="D232" s="110"/>
      <c r="E232" s="110"/>
      <c r="F232" s="110" t="s">
        <v>78</v>
      </c>
      <c r="G232" s="110" t="s">
        <v>167</v>
      </c>
      <c r="H232" s="110" t="s">
        <v>111</v>
      </c>
      <c r="I232" s="110" t="s">
        <v>49</v>
      </c>
      <c r="J232" s="109"/>
    </row>
    <row r="233" spans="1:10" ht="15">
      <c r="E233" s="115" t="s">
        <v>95</v>
      </c>
      <c r="F233" s="115">
        <f>COUNTA(F229:F232)</f>
        <v>4</v>
      </c>
    </row>
  </sheetData>
  <hyperlinks>
    <hyperlink ref="A20" r:id="rId1" display="http://www.westlaw.com/Find/Default.wl?rs=dfa1.0&amp;vr=2.0&amp;DB=6538&amp;FindType=Y&amp;SerialNum=2003667509"/>
    <hyperlink ref="A50" r:id="rId2" display="http://www.westlaw.com/Find/Default.wl?rs=dfa1.0&amp;vr=2.0&amp;DB=6538&amp;FindType=Y&amp;SerialNum=2003662160"/>
    <hyperlink ref="A22" r:id="rId3" display="http://www.westlaw.com/Find/Default.wl?rs=dfa1.0&amp;vr=2.0&amp;DB=6538&amp;FindType=Y&amp;SerialNum=2003662162"/>
    <hyperlink ref="A23" r:id="rId4" display="http://www.westlaw.com/Find/Default.wl?rs=dfa1.0&amp;vr=2.0&amp;DB=6538&amp;FindType=Y&amp;SerialNum=2003667505"/>
    <hyperlink ref="A51" r:id="rId5" display="http://www.westlaw.com/Find/Default.wl?rs=dfa1.0&amp;vr=2.0&amp;DB=6538&amp;FindType=Y&amp;SerialNum=2003667508"/>
    <hyperlink ref="A52" r:id="rId6" display="http://www.westlaw.com/Find/Default.wl?rs=dfa1.0&amp;vr=2.0&amp;DB=6538&amp;FindType=Y&amp;SerialNum=2003679046"/>
    <hyperlink ref="A53" r:id="rId7" display="http://www.westlaw.com/Find/Default.wl?rs=dfa1.0&amp;vr=2.0&amp;DB=6538&amp;FindType=Y&amp;SerialNum=2003694396"/>
    <hyperlink ref="A54" r:id="rId8" display="http://www.westlaw.com/Find/Default.wl?rs=dfa1.0&amp;vr=2.0&amp;DB=6538&amp;FindType=Y&amp;SerialNum=2003660630"/>
    <hyperlink ref="A55" r:id="rId9" display="http://www.westlaw.com/Find/Default.wl?rs=dfa1.0&amp;vr=2.0&amp;DB=6538&amp;FindType=Y&amp;SerialNum=2003660631"/>
    <hyperlink ref="A24" r:id="rId10" display="http://www.westlaw.com/Find/Default.wl?rs=dfa1.0&amp;vr=2.0&amp;DB=6538&amp;FindType=Y&amp;SerialNum=2003662161"/>
    <hyperlink ref="A171" r:id="rId11" display="http://www.westlaw.com/Find/Default.wl?rs=dfa1.0&amp;vr=2.0&amp;DB=6538&amp;FindType=Y&amp;SerialNum=2003659074"/>
    <hyperlink ref="A56" r:id="rId12" display="http://www.westlaw.com/Find/Default.wl?rs=dfa1.0&amp;vr=2.0&amp;DB=6538&amp;FindType=Y&amp;SerialNum=2003659075"/>
    <hyperlink ref="A25" r:id="rId13" display="http://www.westlaw.com/Find/Default.wl?rs=dfa1.0&amp;vr=2.0&amp;DB=6538&amp;FindType=Y&amp;SerialNum=2003659076"/>
    <hyperlink ref="A57" r:id="rId14" display="http://www.westlaw.com/Find/Default.wl?rs=dfa1.0&amp;vr=2.0&amp;DB=6538&amp;FindType=Y&amp;SerialNum=2003659077"/>
    <hyperlink ref="A58" r:id="rId15" display="http://www.westlaw.com/Find/Default.wl?rs=dfa1.0&amp;vr=2.0&amp;DB=6538&amp;FindType=Y&amp;SerialNum=2003659078"/>
    <hyperlink ref="A59" r:id="rId16" display="http://www.westlaw.com/Find/Default.wl?rs=dfa1.0&amp;vr=2.0&amp;DB=6538&amp;FindType=Y&amp;SerialNum=2003652996"/>
    <hyperlink ref="A60" r:id="rId17" display="http://www.westlaw.com/Find/Default.wl?rs=dfa1.0&amp;vr=2.0&amp;DB=6538&amp;FindType=Y&amp;SerialNum=2003693668"/>
    <hyperlink ref="A61" r:id="rId18" display="http://www.westlaw.com/Find/Default.wl?rs=dfa1.0&amp;vr=2.0&amp;DB=6538&amp;FindType=Y&amp;SerialNum=2003630655"/>
    <hyperlink ref="A62" r:id="rId19" display="http://www.westlaw.com/Find/Default.wl?rs=dfa1.0&amp;vr=2.0&amp;DB=506&amp;FindType=Y&amp;SerialNum=2003622365"/>
    <hyperlink ref="A172" r:id="rId20" display="http://www.westlaw.com/Find/Default.wl?rs=dfa1.0&amp;vr=2.0&amp;DB=6538&amp;FindType=Y&amp;SerialNum=2003624074"/>
    <hyperlink ref="A63" r:id="rId21" display="http://www.westlaw.com/Find/Default.wl?rs=dfa1.0&amp;vr=2.0&amp;DB=6538&amp;FindType=Y&amp;SerialNum=2003620926"/>
    <hyperlink ref="A64" r:id="rId22" display="http://www.westlaw.com/Find/Default.wl?rs=dfa1.0&amp;vr=2.0&amp;DB=6538&amp;FindType=Y&amp;SerialNum=2003620927"/>
    <hyperlink ref="A65" r:id="rId23" display="http://www.westlaw.com/Find/Default.wl?rs=dfa1.0&amp;vr=2.0&amp;DB=6538&amp;FindType=Y&amp;SerialNum=2003694119"/>
    <hyperlink ref="A26" r:id="rId24" display="http://www.westlaw.com/Find/Default.wl?rs=dfa1.0&amp;vr=2.0&amp;DB=506&amp;FindType=Y&amp;SerialNum=2003614013"/>
    <hyperlink ref="A66" r:id="rId25" display="http://www.westlaw.com/Find/Default.wl?rs=dfa1.0&amp;vr=2.0&amp;DB=6538&amp;FindType=Y&amp;SerialNum=2003611614"/>
    <hyperlink ref="A67" r:id="rId26" display="http://www.westlaw.com/Find/Default.wl?rs=dfa1.0&amp;vr=2.0&amp;DB=506&amp;FindType=Y&amp;SerialNum=2003605678"/>
    <hyperlink ref="A68" r:id="rId27" display="http://www.westlaw.com/Find/Default.wl?rs=dfa1.0&amp;vr=2.0&amp;DB=6538&amp;FindType=Y&amp;SerialNum=2003603771"/>
    <hyperlink ref="A173" r:id="rId28" display="http://www.westlaw.com/Find/Default.wl?rs=dfa1.0&amp;vr=2.0&amp;DB=6538&amp;FindType=Y&amp;SerialNum=2003603773"/>
    <hyperlink ref="A69" r:id="rId29" display="http://www.westlaw.com/Find/Default.wl?rs=dfa1.0&amp;vr=2.0&amp;DB=506&amp;FindType=Y&amp;SerialNum=2003589275"/>
    <hyperlink ref="A27" r:id="rId30" display="http://www.westlaw.com/Find/Default.wl?rs=dfa1.0&amp;vr=2.0&amp;DB=6538&amp;FindType=Y&amp;SerialNum=2003584036"/>
    <hyperlink ref="A28" r:id="rId31" display="http://www.westlaw.com/Find/Default.wl?rs=dfa1.0&amp;vr=2.0&amp;DB=6538&amp;FindType=Y&amp;SerialNum=2003583273"/>
    <hyperlink ref="A174" r:id="rId32" display="http://www.westlaw.com/Find/Default.wl?rs=dfa1.0&amp;vr=2.0&amp;DB=6538&amp;FindType=Y&amp;SerialNum=2003624102"/>
    <hyperlink ref="A70" r:id="rId33" display="http://www.westlaw.com/Find/Default.wl?rs=dfa1.0&amp;vr=2.0&amp;DB=6538&amp;FindType=Y&amp;SerialNum=2003624105"/>
    <hyperlink ref="A71" r:id="rId34" display="http://www.westlaw.com/Find/Default.wl?rs=dfa1.0&amp;vr=2.0&amp;DB=6538&amp;FindType=Y&amp;SerialNum=2003580733"/>
    <hyperlink ref="A29" r:id="rId35" display="http://www.westlaw.com/Find/Default.wl?rs=dfa1.0&amp;vr=2.0&amp;DB=6538&amp;FindType=Y&amp;SerialNum=2003580736"/>
    <hyperlink ref="A175" r:id="rId36" display="http://www.westlaw.com/Find/Default.wl?rs=dfa1.0&amp;vr=2.0&amp;DB=6538&amp;FindType=Y&amp;SerialNum=2003575229"/>
    <hyperlink ref="A72" r:id="rId37" display="http://www.westlaw.com/Find/Default.wl?rs=dfa1.0&amp;vr=2.0&amp;DB=6538&amp;FindType=Y&amp;SerialNum=2003568411"/>
    <hyperlink ref="A73" r:id="rId38" display="http://www.westlaw.com/Find/Default.wl?rs=dfa1.0&amp;vr=2.0&amp;DB=6538&amp;FindType=Y&amp;SerialNum=2003568412"/>
    <hyperlink ref="A30" r:id="rId39" display="http://www.westlaw.com/Find/Default.wl?rs=dfa1.0&amp;vr=2.0&amp;DB=506&amp;FindType=Y&amp;SerialNum=2003567502"/>
    <hyperlink ref="A176" r:id="rId40" display="http://www.westlaw.com/Find/Default.wl?rs=dfa1.0&amp;vr=2.0&amp;DB=6538&amp;FindType=Y&amp;SerialNum=2003603767"/>
    <hyperlink ref="A74" r:id="rId41" display="http://www.westlaw.com/Find/Default.wl?rs=dfa1.0&amp;vr=2.0&amp;DB=6538&amp;FindType=Y&amp;SerialNum=2003551401"/>
    <hyperlink ref="A177" r:id="rId42" display="http://www.westlaw.com/Find/Default.wl?rs=dfa1.0&amp;vr=2.0&amp;DB=6538&amp;FindType=Y&amp;SerialNum=2003623536"/>
    <hyperlink ref="A75" r:id="rId43" display="http://www.westlaw.com/Find/Default.wl?rs=dfa1.0&amp;vr=2.0&amp;DB=6538&amp;FindType=Y&amp;SerialNum=2003550826"/>
    <hyperlink ref="A76" r:id="rId44" display="http://www.westlaw.com/Find/Default.wl?rs=dfa1.0&amp;vr=2.0&amp;DB=6538&amp;FindType=Y&amp;SerialNum=2003537292"/>
    <hyperlink ref="A169" r:id="rId45" display="http://www.westlaw.com/Find/Default.wl?rs=dfa1.0&amp;vr=2.0&amp;DB=6538&amp;FindType=Y&amp;SerialNum=2003528357"/>
    <hyperlink ref="A77" r:id="rId46" display="http://www.westlaw.com/Find/Default.wl?rs=dfa1.0&amp;vr=2.0&amp;DB=6538&amp;FindType=Y&amp;SerialNum=2003528359"/>
    <hyperlink ref="A78" r:id="rId47" display="http://www.westlaw.com/Find/Default.wl?rs=dfa1.0&amp;vr=2.0&amp;DB=6538&amp;FindType=Y&amp;SerialNum=2003551239"/>
    <hyperlink ref="A79" r:id="rId48" display="http://www.westlaw.com/Find/Default.wl?rs=dfa1.0&amp;vr=2.0&amp;DB=506&amp;FindType=Y&amp;SerialNum=2003521950"/>
    <hyperlink ref="A178" r:id="rId49" display="http://www.westlaw.com/Find/Default.wl?rs=dfa1.0&amp;vr=2.0&amp;DB=6538&amp;FindType=Y&amp;SerialNum=2003503835"/>
    <hyperlink ref="A31" r:id="rId50" display="http://www.westlaw.com/Find/Default.wl?rs=dfa1.0&amp;vr=2.0&amp;DB=6538&amp;FindType=Y&amp;SerialNum=2003503836"/>
    <hyperlink ref="A32" r:id="rId51" display="http://www.westlaw.com/Find/Default.wl?rs=dfa1.0&amp;vr=2.0&amp;DB=6538&amp;FindType=Y&amp;SerialNum=2003551236"/>
    <hyperlink ref="A179" r:id="rId52" display="http://www.westlaw.com/Find/Default.wl?rs=dfa1.0&amp;vr=2.0&amp;DB=6538&amp;FindType=Y&amp;SerialNum=2003482946"/>
    <hyperlink ref="A180" r:id="rId53" display="http://www.westlaw.com/Find/Default.wl?rs=dfa1.0&amp;vr=2.0&amp;DB=6538&amp;FindType=Y&amp;SerialNum=2003462209"/>
    <hyperlink ref="A47" r:id="rId54" display="http://www.westlaw.com/Find/Default.wl?rs=dfa1.0&amp;vr=2.0&amp;DB=506&amp;FindType=Y&amp;SerialNum=2003452512"/>
    <hyperlink ref="A80" r:id="rId55" display="http://www.westlaw.com/Find/Default.wl?rs=dfa1.0&amp;vr=2.0&amp;DB=6538&amp;FindType=Y&amp;SerialNum=2003452307"/>
    <hyperlink ref="A181" r:id="rId56" display="http://www.westlaw.com/Find/Default.wl?rs=dfa1.0&amp;vr=2.0&amp;DB=6538&amp;FindType=Y&amp;SerialNum=2003452309"/>
    <hyperlink ref="A39" r:id="rId57" display="http://www.westlaw.com/Find/Default.wl?rs=dfa1.0&amp;vr=2.0&amp;DB=6538&amp;FindType=Y&amp;SerialNum=2003452311"/>
    <hyperlink ref="A81" r:id="rId58" display="http://www.westlaw.com/Find/Default.wl?rs=dfa1.0&amp;vr=2.0&amp;DB=6538&amp;FindType=Y&amp;SerialNum=2003452315"/>
    <hyperlink ref="A82" r:id="rId59" display="http://www.westlaw.com/Find/Default.wl?rs=dfa1.0&amp;vr=2.0&amp;DB=6538&amp;FindType=Y&amp;SerialNum=2003452312"/>
    <hyperlink ref="A83" r:id="rId60" display="http://www.westlaw.com/Find/Default.wl?rs=dfa1.0&amp;vr=2.0&amp;DB=6538&amp;FindType=Y&amp;SerialNum=2003462206"/>
    <hyperlink ref="A84" r:id="rId61" display="http://www.westlaw.com/Find/Default.wl?rs=dfa1.0&amp;vr=2.0&amp;DB=506&amp;FindType=Y&amp;SerialNum=2003434818"/>
    <hyperlink ref="A85" r:id="rId62" display="http://www.westlaw.com/Find/Default.wl?rs=dfa1.0&amp;vr=2.0&amp;DB=506&amp;FindType=Y&amp;SerialNum=2003434819"/>
    <hyperlink ref="A86" r:id="rId63" display="http://www.westlaw.com/Find/Default.wl?rs=dfa1.0&amp;vr=2.0&amp;DB=6538&amp;FindType=Y&amp;SerialNum=2003430430"/>
    <hyperlink ref="A87" r:id="rId64" display="http://www.westlaw.com/Find/Default.wl?rs=dfa1.0&amp;vr=2.0&amp;DB=6538&amp;FindType=Y&amp;SerialNum=2003418956"/>
    <hyperlink ref="A88" r:id="rId65" display="http://www.westlaw.com/Find/Default.wl?rs=dfa1.0&amp;vr=2.0&amp;DB=6538&amp;FindType=Y&amp;SerialNum=2003401687"/>
    <hyperlink ref="A40" r:id="rId66" display="http://www.westlaw.com/Find/Default.wl?rs=dfa1.0&amp;vr=2.0&amp;DB=6538&amp;FindType=Y&amp;SerialNum=2003400326"/>
    <hyperlink ref="A33" r:id="rId67" display="http://www.westlaw.com/Find/Default.wl?rs=dfa1.0&amp;vr=2.0&amp;DB=506&amp;FindType=Y&amp;SerialNum=2003385249"/>
    <hyperlink ref="A89" r:id="rId68" display="http://www.westlaw.com/Find/Default.wl?rs=dfa1.0&amp;vr=2.0&amp;DB=506&amp;FindType=Y&amp;SerialNum=2003384997"/>
    <hyperlink ref="A90" r:id="rId69" display="http://www.westlaw.com/Find/Default.wl?rs=dfa1.0&amp;vr=2.0&amp;DB=506&amp;FindType=Y&amp;SerialNum=2003377459"/>
    <hyperlink ref="A182" r:id="rId70" display="http://www.westlaw.com/Find/Default.wl?rs=dfa1.0&amp;vr=2.0&amp;DB=6538&amp;FindType=Y&amp;SerialNum=2003379062"/>
    <hyperlink ref="A91" r:id="rId71" display="http://www.westlaw.com/Find/Default.wl?rs=dfa1.0&amp;vr=2.0&amp;DB=506&amp;FindType=Y&amp;SerialNum=2003365696"/>
    <hyperlink ref="A170" r:id="rId72" display="http://www.westlaw.com/Find/Default.wl?rs=dfa1.0&amp;vr=2.0&amp;DB=6538&amp;FindType=Y&amp;SerialNum=2003365833"/>
    <hyperlink ref="A92" r:id="rId73" display="http://www.westlaw.com/Find/Default.wl?rs=dfa1.0&amp;vr=2.0&amp;DB=6538&amp;FindType=Y&amp;SerialNum=2003365834"/>
    <hyperlink ref="A183" r:id="rId74" display="http://www.westlaw.com/Find/Default.wl?rs=dfa1.0&amp;vr=2.0&amp;DB=6538&amp;FindType=Y&amp;SerialNum=2003365838"/>
    <hyperlink ref="A93" r:id="rId75" display="http://www.westlaw.com/Find/Default.wl?rs=dfa1.0&amp;vr=2.0&amp;DB=6538&amp;FindType=Y&amp;SerialNum=2003348951"/>
    <hyperlink ref="A184" r:id="rId76" display="http://www.westlaw.com/Find/Default.wl?rs=dfa1.0&amp;vr=2.0&amp;DB=6538&amp;FindType=Y&amp;SerialNum=2003420885"/>
    <hyperlink ref="A94" r:id="rId77" display="http://www.westlaw.com/Find/Default.wl?rs=dfa1.0&amp;vr=2.0&amp;DB=506&amp;FindType=Y&amp;SerialNum=2003340773"/>
    <hyperlink ref="A185" r:id="rId78" display="http://www.westlaw.com/Find/Default.wl?rs=dfa1.0&amp;vr=2.0&amp;DB=6538&amp;FindType=Y&amp;SerialNum=2003334688"/>
    <hyperlink ref="A96" r:id="rId79" display="http://www.westlaw.com/Find/Default.wl?rs=dfa1.0&amp;vr=2.0&amp;DB=506&amp;FindType=Y&amp;SerialNum=2003322866"/>
    <hyperlink ref="A97" r:id="rId80" display="http://www.westlaw.com/Find/Default.wl?rs=dfa1.0&amp;vr=2.0&amp;DB=6538&amp;FindType=Y&amp;SerialNum=2003318624"/>
    <hyperlink ref="A98" r:id="rId81" display="http://www.westlaw.com/Find/Default.wl?rs=dfa1.0&amp;vr=2.0&amp;DB=6538&amp;FindType=Y&amp;SerialNum=2003320781"/>
    <hyperlink ref="A99" r:id="rId82" display="http://www.westlaw.com/Find/Default.wl?rs=dfa1.0&amp;vr=2.0&amp;DB=6538&amp;FindType=Y&amp;SerialNum=2003318622"/>
    <hyperlink ref="A100" r:id="rId83" display="http://www.westlaw.com/Find/Default.wl?rs=dfa1.0&amp;vr=2.0&amp;DB=6538&amp;FindType=Y&amp;SerialNum=2003318623"/>
    <hyperlink ref="A101" r:id="rId84" display="http://www.westlaw.com/Find/Default.wl?rs=dfa1.0&amp;vr=2.0&amp;DB=6538&amp;FindType=Y&amp;SerialNum=2003314114"/>
    <hyperlink ref="A102" r:id="rId85" display="http://www.westlaw.com/Find/Default.wl?rs=dfa1.0&amp;vr=2.0&amp;DB=6538&amp;FindType=Y&amp;SerialNum=2003314115"/>
    <hyperlink ref="A103" r:id="rId86" display="http://www.westlaw.com/Find/Default.wl?rs=dfa1.0&amp;vr=2.0&amp;DB=6538&amp;FindType=Y&amp;SerialNum=2003306866"/>
    <hyperlink ref="A104" r:id="rId87" display="http://www.westlaw.com/Find/Default.wl?rs=dfa1.0&amp;vr=2.0&amp;DB=6538&amp;FindType=Y&amp;SerialNum=2003306867"/>
    <hyperlink ref="A105" r:id="rId88" display="http://www.westlaw.com/Find/Default.wl?rs=dfa1.0&amp;vr=2.0&amp;DB=6538&amp;FindType=Y&amp;SerialNum=2003308207"/>
    <hyperlink ref="A186" r:id="rId89" display="http://www.westlaw.com/Find/Default.wl?rs=dfa1.0&amp;vr=2.0&amp;DB=6538&amp;FindType=Y&amp;SerialNum=2003308210"/>
    <hyperlink ref="A187" r:id="rId90" display="http://www.westlaw.com/Find/Default.wl?rs=dfa1.0&amp;vr=2.0&amp;DB=6538&amp;FindType=Y&amp;SerialNum=2003300684"/>
    <hyperlink ref="A106" r:id="rId91" display="http://www.westlaw.com/Find/Default.wl?rs=dfa1.0&amp;vr=2.0&amp;DB=506&amp;FindType=Y&amp;SerialNum=2003293999"/>
    <hyperlink ref="A188" r:id="rId92" display="http://www.westlaw.com/Find/Default.wl?rs=dfa1.0&amp;vr=2.0&amp;DB=6538&amp;FindType=Y&amp;SerialNum=2003294046"/>
    <hyperlink ref="A189" r:id="rId93" display="http://www.westlaw.com/Find/Default.wl?rs=dfa1.0&amp;vr=2.0&amp;DB=6538&amp;FindType=Y&amp;SerialNum=2003294050"/>
    <hyperlink ref="A190" r:id="rId94" display="http://www.westlaw.com/Find/Default.wl?rs=dfa1.0&amp;vr=2.0&amp;DB=6538&amp;FindType=Y&amp;SerialNum=2003294051"/>
    <hyperlink ref="A191" r:id="rId95" display="http://www.westlaw.com/Find/Default.wl?rs=dfa1.0&amp;vr=2.0&amp;DB=6538&amp;FindType=Y&amp;SerialNum=2003294052"/>
    <hyperlink ref="A192" r:id="rId96" display="http://www.westlaw.com/Find/Default.wl?rs=dfa1.0&amp;vr=2.0&amp;DB=6538&amp;FindType=Y&amp;SerialNum=2003305831"/>
    <hyperlink ref="A193" r:id="rId97" display="http://www.westlaw.com/Find/Default.wl?rs=dfa1.0&amp;vr=2.0&amp;DB=6538&amp;FindType=Y&amp;SerialNum=2003318625"/>
    <hyperlink ref="A107" r:id="rId98" display="http://www.westlaw.com/Find/Default.wl?rs=dfa1.0&amp;vr=2.0&amp;DB=6538&amp;FindType=Y&amp;SerialNum=2003289207"/>
    <hyperlink ref="A108" r:id="rId99" display="http://www.westlaw.com/Find/Default.wl?rs=dfa1.0&amp;vr=2.0&amp;DB=6538&amp;FindType=Y&amp;SerialNum=2003286367"/>
    <hyperlink ref="A109" r:id="rId100" display="http://www.westlaw.com/Find/Default.wl?rs=dfa1.0&amp;vr=2.0&amp;DB=6538&amp;FindType=Y&amp;SerialNum=2003289205"/>
    <hyperlink ref="A110" r:id="rId101" display="http://www.westlaw.com/Find/Default.wl?rs=dfa1.0&amp;vr=2.0&amp;DB=506&amp;FindType=Y&amp;SerialNum=2003275081"/>
    <hyperlink ref="A111" r:id="rId102" display="http://www.westlaw.com/Find/Default.wl?rs=dfa1.0&amp;vr=2.0&amp;DB=506&amp;FindType=Y&amp;SerialNum=2003269229"/>
    <hyperlink ref="A194" r:id="rId103" display="http://www.westlaw.com/Find/Default.wl?rs=dfa1.0&amp;vr=2.0&amp;DB=6538&amp;FindType=Y&amp;SerialNum=2003275152"/>
    <hyperlink ref="A112" r:id="rId104" display="http://www.westlaw.com/Find/Default.wl?rs=dfa1.0&amp;vr=2.0&amp;DB=6538&amp;FindType=Y&amp;SerialNum=2003268634"/>
    <hyperlink ref="A195" r:id="rId105" display="http://www.westlaw.com/Find/Default.wl?rs=dfa1.0&amp;vr=2.0&amp;DB=6538&amp;FindType=Y&amp;SerialNum=2003305850"/>
    <hyperlink ref="A113" r:id="rId106" display="http://www.westlaw.com/Find/Default.wl?rs=dfa1.0&amp;vr=2.0&amp;DB=506&amp;FindType=Y&amp;SerialNum=2003243978"/>
    <hyperlink ref="A114" r:id="rId107" display="http://www.westlaw.com/Find/Default.wl?rs=dfa1.0&amp;vr=2.0&amp;DB=6538&amp;FindType=Y&amp;SerialNum=2003239211"/>
    <hyperlink ref="A115" r:id="rId108" display="http://www.westlaw.com/Find/Default.wl?rs=dfa1.0&amp;vr=2.0&amp;DB=506&amp;FindType=Y&amp;SerialNum=2003236479"/>
    <hyperlink ref="A116" r:id="rId109" display="http://www.westlaw.com/Find/Default.wl?rs=dfa1.0&amp;vr=2.0&amp;DB=506&amp;FindType=Y&amp;SerialNum=2003232084"/>
    <hyperlink ref="A117" r:id="rId110" display="http://www.westlaw.com/Find/Default.wl?rs=dfa1.0&amp;vr=2.0&amp;DB=6538&amp;FindType=Y&amp;SerialNum=2003256963"/>
    <hyperlink ref="A118" r:id="rId111" display="http://www.westlaw.com/Find/Default.wl?rs=dfa1.0&amp;vr=2.0&amp;DB=6538&amp;FindType=Y&amp;SerialNum=2003226903"/>
    <hyperlink ref="A119" r:id="rId112" display="http://www.westlaw.com/Find/Default.wl?rs=dfa1.0&amp;vr=2.0&amp;DB=506&amp;FindType=Y&amp;SerialNum=2003212659"/>
    <hyperlink ref="A120" r:id="rId113" display="http://www.westlaw.com/Find/Default.wl?rs=dfa1.0&amp;vr=2.0&amp;DB=506&amp;FindType=Y&amp;SerialNum=2003212666"/>
    <hyperlink ref="A196" r:id="rId114" display="http://www.westlaw.com/Find/Default.wl?rs=dfa1.0&amp;vr=2.0&amp;DB=6538&amp;FindType=Y&amp;SerialNum=2003226898"/>
    <hyperlink ref="A197" r:id="rId115" display="http://www.westlaw.com/Find/Default.wl?rs=dfa1.0&amp;vr=2.0&amp;DB=6538&amp;FindType=Y&amp;SerialNum=2003226901"/>
    <hyperlink ref="A198" r:id="rId116" display="http://www.westlaw.com/Find/Default.wl?rs=dfa1.0&amp;vr=2.0&amp;DB=6538&amp;FindType=Y&amp;SerialNum=2003211569"/>
    <hyperlink ref="A199" r:id="rId117" display="http://www.westlaw.com/Find/Default.wl?rs=dfa1.0&amp;vr=2.0&amp;DB=6538&amp;FindType=Y&amp;SerialNum=2003205962"/>
    <hyperlink ref="A200" r:id="rId118" display="http://www.westlaw.com/Find/Default.wl?rs=dfa1.0&amp;vr=2.0&amp;DB=6538&amp;FindType=Y&amp;SerialNum=2003212778"/>
    <hyperlink ref="A121" r:id="rId119" display="http://www.westlaw.com/Find/Default.wl?rs=dfa1.0&amp;vr=2.0&amp;DB=6538&amp;FindType=Y&amp;SerialNum=2003204929"/>
    <hyperlink ref="A34" r:id="rId120" display="http://www.westlaw.com/Find/Default.wl?rs=dfa1.0&amp;vr=2.0&amp;DB=506&amp;FindType=Y&amp;SerialNum=2003198128"/>
    <hyperlink ref="A201" r:id="rId121" display="http://www.westlaw.com/Find/Default.wl?rs=dfa1.0&amp;vr=2.0&amp;DB=6538&amp;FindType=Y&amp;SerialNum=2003197234"/>
    <hyperlink ref="A122" r:id="rId122" display="http://www.westlaw.com/Find/Default.wl?rs=dfa1.0&amp;vr=2.0&amp;DB=6538&amp;FindType=Y&amp;SerialNum=2003197235"/>
    <hyperlink ref="A123" r:id="rId123" display="http://www.westlaw.com/Find/Default.wl?rs=dfa1.0&amp;vr=2.0&amp;DB=506&amp;FindType=Y&amp;SerialNum=2003197955"/>
    <hyperlink ref="A202" r:id="rId124" display="http://www.westlaw.com/Find/Default.wl?rs=dfa1.0&amp;vr=2.0&amp;DB=6538&amp;FindType=Y&amp;SerialNum=2003305871"/>
    <hyperlink ref="A203" r:id="rId125" display="http://www.westlaw.com/Find/Default.wl?rs=dfa1.0&amp;vr=2.0&amp;DB=6538&amp;FindType=Y&amp;SerialNum=2003305852"/>
    <hyperlink ref="A124" r:id="rId126" display="http://www.westlaw.com/Find/Default.wl?rs=dfa1.0&amp;vr=2.0&amp;DB=506&amp;FindType=Y&amp;SerialNum=2003185453"/>
    <hyperlink ref="A125" r:id="rId127" display="http://www.westlaw.com/Find/Default.wl?rs=dfa1.0&amp;vr=2.0&amp;DB=6538&amp;FindType=Y&amp;SerialNum=2003178235"/>
    <hyperlink ref="A204" r:id="rId128" display="http://www.westlaw.com/Find/Default.wl?rs=dfa1.0&amp;vr=2.0&amp;DB=6538&amp;FindType=Y&amp;SerialNum=2003176963"/>
    <hyperlink ref="A205" r:id="rId129" display="http://www.westlaw.com/Find/Default.wl?rs=dfa1.0&amp;vr=2.0&amp;DB=6538&amp;FindType=Y&amp;SerialNum=2003212625"/>
    <hyperlink ref="A126" r:id="rId130" display="http://www.westlaw.com/Find/Default.wl?rs=dfa1.0&amp;vr=2.0&amp;DB=6538&amp;FindType=Y&amp;SerialNum=2003171108"/>
    <hyperlink ref="A127" r:id="rId131" display="http://www.westlaw.com/Find/Default.wl?rs=dfa1.0&amp;vr=2.0&amp;DB=6538&amp;FindType=Y&amp;SerialNum=2003169772"/>
    <hyperlink ref="A206" r:id="rId132" display="http://www.westlaw.com/Find/Default.wl?rs=dfa1.0&amp;vr=2.0&amp;DB=6538&amp;FindType=Y&amp;SerialNum=2003212782"/>
    <hyperlink ref="A35" r:id="rId133" display="http://www.westlaw.com/Find/Default.wl?rs=dfa1.0&amp;vr=2.0&amp;DB=506&amp;FindType=Y&amp;SerialNum=2003154091"/>
    <hyperlink ref="A207" r:id="rId134" display="http://www.westlaw.com/Find/Default.wl?rs=dfa1.0&amp;vr=2.0&amp;DB=6538&amp;FindType=Y&amp;SerialNum=2003154198"/>
    <hyperlink ref="A128" r:id="rId135" display="http://www.westlaw.com/Find/Default.wl?rs=dfa1.0&amp;vr=2.0&amp;DB=6538&amp;FindType=Y&amp;SerialNum=2003154199"/>
    <hyperlink ref="A129" r:id="rId136" display="http://www.westlaw.com/Find/Default.wl?rs=dfa1.0&amp;vr=2.0&amp;DB=6538&amp;FindType=Y&amp;SerialNum=2003154204"/>
    <hyperlink ref="A208" r:id="rId137" display="http://www.westlaw.com/Find/Default.wl?rs=dfa1.0&amp;vr=2.0&amp;DB=6538&amp;FindType=Y&amp;SerialNum=2003212783"/>
    <hyperlink ref="A209" r:id="rId138" display="http://www.westlaw.com/Find/Default.wl?rs=dfa1.0&amp;vr=2.0&amp;DB=6538&amp;FindType=Y&amp;SerialNum=2003212784"/>
    <hyperlink ref="A130" r:id="rId139" display="http://www.westlaw.com/Find/Default.wl?rs=dfa1.0&amp;vr=2.0&amp;DB=506&amp;FindType=Y&amp;SerialNum=2003162023"/>
    <hyperlink ref="A210" r:id="rId140" display="http://www.westlaw.com/Find/Default.wl?rs=dfa1.0&amp;vr=2.0&amp;DB=6538&amp;FindType=Y&amp;SerialNum=2003135198"/>
    <hyperlink ref="A131" r:id="rId141" display="http://www.westlaw.com/Find/Default.wl?rs=dfa1.0&amp;vr=2.0&amp;DB=6538&amp;FindType=Y&amp;SerialNum=2003128440"/>
    <hyperlink ref="A132" r:id="rId142" display="http://www.westlaw.com/Find/Default.wl?rs=dfa1.0&amp;vr=2.0&amp;DB=506&amp;FindType=Y&amp;SerialNum=2003112519"/>
    <hyperlink ref="A133" r:id="rId143" display="http://www.westlaw.com/Find/Default.wl?rs=dfa1.0&amp;vr=2.0&amp;DB=6538&amp;FindType=Y&amp;SerialNum=2003111062"/>
    <hyperlink ref="A134" r:id="rId144" display="http://www.westlaw.com/Find/Default.wl?rs=dfa1.0&amp;vr=2.0&amp;DB=506&amp;FindType=Y&amp;SerialNum=2003112355"/>
    <hyperlink ref="A135" r:id="rId145" display="http://www.westlaw.com/Find/Default.wl?rs=dfa1.0&amp;vr=2.0&amp;FindType=Y&amp;SerialNum=2003096588"/>
    <hyperlink ref="A136" r:id="rId146" display="http://www.westlaw.com/Find/Default.wl?rs=dfa1.0&amp;vr=2.0&amp;DB=6538&amp;FindType=Y&amp;SerialNum=2003098434"/>
    <hyperlink ref="A211" r:id="rId147" display="http://www.westlaw.com/Find/Default.wl?rs=dfa1.0&amp;vr=2.0&amp;DB=6538&amp;FindType=Y&amp;SerialNum=2003112226"/>
    <hyperlink ref="A137" r:id="rId148" display="http://www.westlaw.com/Find/Default.wl?rs=dfa1.0&amp;vr=2.0&amp;DB=6538&amp;FindType=Y&amp;SerialNum=2003161088"/>
    <hyperlink ref="A138" r:id="rId149" display="http://www.westlaw.com/Find/Default.wl?rs=dfa1.0&amp;vr=2.0&amp;DB=6538&amp;FindType=Y&amp;SerialNum=2003096560"/>
    <hyperlink ref="A139" r:id="rId150" display="http://www.westlaw.com/Find/Default.wl?rs=dfa1.0&amp;vr=2.0&amp;DB=6538&amp;FindType=Y&amp;SerialNum=2003096585"/>
    <hyperlink ref="A140" r:id="rId151" display="http://www.westlaw.com/Find/Default.wl?rs=dfa1.0&amp;vr=2.0&amp;DB=6538&amp;FindType=Y&amp;SerialNum=2003098435"/>
    <hyperlink ref="A141" r:id="rId152" display="http://www.westlaw.com/Find/Default.wl?rs=dfa1.0&amp;vr=2.0&amp;DB=6538&amp;FindType=Y&amp;SerialNum=2003148928"/>
    <hyperlink ref="A142" r:id="rId153" display="http://www.westlaw.com/Find/Default.wl?rs=dfa1.0&amp;vr=2.0&amp;DB=506&amp;FindType=Y&amp;SerialNum=2003090394"/>
    <hyperlink ref="A143" r:id="rId154" display="http://www.westlaw.com/Find/Default.wl?rs=dfa1.0&amp;vr=2.0&amp;DB=506&amp;FindType=Y&amp;SerialNum=2003090395"/>
    <hyperlink ref="A144" r:id="rId155" display="http://www.westlaw.com/Find/Default.wl?rs=dfa1.0&amp;vr=2.0&amp;DB=6538&amp;FindType=Y&amp;SerialNum=2003096586"/>
    <hyperlink ref="A145" r:id="rId156" display="http://www.westlaw.com/Find/Default.wl?rs=dfa1.0&amp;vr=2.0&amp;DB=6538&amp;FindType=Y&amp;SerialNum=2003096587"/>
    <hyperlink ref="A36" r:id="rId157" display="http://www.westlaw.com/Find/Default.wl?rs=dfa1.0&amp;vr=2.0&amp;DB=506&amp;FindType=Y&amp;SerialNum=2003078020"/>
    <hyperlink ref="A146" r:id="rId158" display="http://www.westlaw.com/Find/Default.wl?rs=dfa1.0&amp;vr=2.0&amp;DB=6538&amp;FindType=Y&amp;SerialNum=2003078053"/>
    <hyperlink ref="A147" r:id="rId159" display="http://www.westlaw.com/Find/Default.wl?rs=dfa1.0&amp;vr=2.0&amp;DB=6538&amp;FindType=Y&amp;SerialNum=2003148929"/>
    <hyperlink ref="A148" r:id="rId160" display="http://www.westlaw.com/Find/Default.wl?rs=dfa1.0&amp;vr=2.0&amp;DB=6538&amp;FindType=Y&amp;SerialNum=2003078051"/>
    <hyperlink ref="A46" r:id="rId161" display="http://www.westlaw.com/Find/Default.wl?rs=dfa1.0&amp;vr=2.0&amp;DB=506&amp;FindType=Y&amp;SerialNum=2003072065"/>
    <hyperlink ref="A149" r:id="rId162" display="http://www.westlaw.com/Find/Default.wl?rs=dfa1.0&amp;vr=2.0&amp;DB=6538&amp;FindType=Y&amp;SerialNum=2003065960"/>
    <hyperlink ref="A212" r:id="rId163" display="http://www.westlaw.com/Find/Default.wl?rs=dfa1.0&amp;vr=2.0&amp;DB=6538&amp;FindType=Y&amp;SerialNum=2003162028"/>
    <hyperlink ref="A150" r:id="rId164" display="http://www.westlaw.com/Find/Default.wl?rs=dfa1.0&amp;vr=2.0&amp;DB=6538&amp;FindType=Y&amp;SerialNum=2002807138"/>
    <hyperlink ref="A151" r:id="rId165" display="http://www.westlaw.com/Find/Default.wl?rs=dfa1.0&amp;vr=2.0&amp;DB=6538&amp;FindType=Y&amp;SerialNum=2002811841"/>
    <hyperlink ref="A152" r:id="rId166" display="http://www.westlaw.com/Find/Default.wl?rs=dfa1.0&amp;vr=2.0&amp;DB=6538&amp;FindType=Y&amp;SerialNum=2002795804"/>
    <hyperlink ref="A153" r:id="rId167" display="http://www.westlaw.com/Find/Default.wl?rs=dfa1.0&amp;vr=2.0&amp;DB=6538&amp;FindType=Y&amp;SerialNum=2002795805"/>
    <hyperlink ref="A213" r:id="rId168" display="http://www.westlaw.com/Find/Default.wl?rs=dfa1.0&amp;vr=2.0&amp;DB=6538&amp;FindType=Y&amp;SerialNum=2002796861"/>
    <hyperlink ref="A214" r:id="rId169" display="http://www.westlaw.com/Find/Default.wl?rs=dfa1.0&amp;vr=2.0&amp;DB=6538&amp;FindType=Y&amp;SerialNum=2002790970"/>
    <hyperlink ref="A215" r:id="rId170" display="http://www.westlaw.com/Find/Default.wl?rs=dfa1.0&amp;vr=2.0&amp;DB=6538&amp;FindType=Y&amp;SerialNum=2002790971"/>
    <hyperlink ref="A216" r:id="rId171" display="http://www.westlaw.com/Find/Default.wl?rs=dfa1.0&amp;vr=2.0&amp;DB=6538&amp;FindType=Y&amp;SerialNum=2002795806"/>
    <hyperlink ref="A154" r:id="rId172" display="http://www.westlaw.com/Find/Default.wl?rs=dfa1.0&amp;vr=2.0&amp;DB=506&amp;FindType=Y&amp;SerialNum=2002800761"/>
    <hyperlink ref="A217" r:id="rId173" display="http://www.westlaw.com/Find/Default.wl?rs=dfa1.0&amp;vr=2.0&amp;DB=6538&amp;FindType=Y&amp;SerialNum=2002788434"/>
    <hyperlink ref="A155" r:id="rId174" display="http://www.westlaw.com/Find/Default.wl?rs=dfa1.0&amp;vr=2.0&amp;DB=6538&amp;FindType=Y&amp;SerialNum=2002779625"/>
    <hyperlink ref="A218" r:id="rId175" display="http://www.westlaw.com/Find/Default.wl?rs=dfa1.0&amp;vr=2.0&amp;DB=6538&amp;FindType=Y&amp;SerialNum=2002779631"/>
    <hyperlink ref="A219" r:id="rId176" display="http://www.westlaw.com/Find/Default.wl?rs=dfa1.0&amp;vr=2.0&amp;DB=6538&amp;FindType=Y&amp;SerialNum=2002806921"/>
    <hyperlink ref="A37" r:id="rId177" display="http://www.westlaw.com/Find/Default.wl?rs=dfa1.0&amp;vr=2.0&amp;DB=506&amp;FindType=Y&amp;SerialNum=2002767791"/>
    <hyperlink ref="A156" r:id="rId178" display="http://www.westlaw.com/Find/Default.wl?rs=dfa1.0&amp;vr=2.0&amp;DB=6538&amp;FindType=Y&amp;SerialNum=2002764799"/>
    <hyperlink ref="A157" r:id="rId179" display="http://www.westlaw.com/Find/Default.wl?rs=dfa1.0&amp;vr=2.0&amp;DB=6538&amp;FindType=Y&amp;SerialNum=2002760267"/>
    <hyperlink ref="A21" r:id="rId180" display="http://www.westlaw.com/Find/Default.wl?rs=dfa1.0&amp;vr=2.0&amp;DB=506&amp;FindType=Y&amp;SerialNum=2002764022"/>
    <hyperlink ref="A158" r:id="rId181" display="http://www.westlaw.com/Find/Default.wl?rs=dfa1.0&amp;vr=2.0&amp;DB=6538&amp;FindType=Y&amp;SerialNum=2002729128"/>
    <hyperlink ref="A159" r:id="rId182" display="http://www.westlaw.com/Find/Default.wl?rs=dfa1.0&amp;vr=2.0&amp;DB=6538&amp;FindType=Y&amp;SerialNum=2003046414"/>
    <hyperlink ref="A160" r:id="rId183" display="http://www.westlaw.com/Find/Default.wl?rs=dfa1.0&amp;vr=2.0&amp;DB=6538&amp;FindType=Y&amp;SerialNum=2002714630"/>
    <hyperlink ref="A38" r:id="rId184" display="http://www.westlaw.com/Find/Default.wl?rs=dfa1.0&amp;vr=2.0&amp;DB=506&amp;FindType=Y&amp;SerialNum=2002689979"/>
    <hyperlink ref="A161" r:id="rId185" display="http://www.westlaw.com/Find/Default.wl?rs=dfa1.0&amp;vr=2.0&amp;DB=6538&amp;FindType=Y&amp;SerialNum=2002687670"/>
    <hyperlink ref="A162" r:id="rId186" display="http://www.westlaw.com/Find/Default.wl?rs=dfa1.0&amp;vr=2.0&amp;DB=6538&amp;FindType=Y&amp;SerialNum=2002683500"/>
    <hyperlink ref="A163" r:id="rId187" display="http://www.westlaw.com/Find/Default.wl?rs=dfa1.0&amp;vr=2.0&amp;DB=6538&amp;FindType=Y&amp;SerialNum=2002683502"/>
    <hyperlink ref="A220" r:id="rId188" display="http://www.westlaw.com/Find/Default.wl?rs=dfa1.0&amp;vr=2.0&amp;DB=6538&amp;FindType=Y&amp;SerialNum=2002706479"/>
    <hyperlink ref="A221" r:id="rId189" display="http://www.westlaw.com/Find/Default.wl?rs=dfa1.0&amp;vr=2.0&amp;DB=6538&amp;FindType=Y&amp;SerialNum=2002664632"/>
    <hyperlink ref="A222" r:id="rId190" display="http://www.westlaw.com/Find/Default.wl?rs=dfa1.0&amp;vr=2.0&amp;DB=6538&amp;FindType=Y&amp;SerialNum=2002662603"/>
    <hyperlink ref="A164" r:id="rId191" display="http://www.westlaw.com/Find/Default.wl?rs=dfa1.0&amp;vr=2.0&amp;DB=506&amp;FindType=Y&amp;SerialNum=2002665413"/>
    <hyperlink ref="A165" r:id="rId192" display="http://www.westlaw.com/Find/Default.wl?rs=dfa1.0&amp;vr=2.0&amp;DB=6538&amp;FindType=Y&amp;SerialNum=2002654498"/>
    <hyperlink ref="A166" r:id="rId193" display="http://www.westlaw.com/Find/Default.wl?rs=dfa1.0&amp;vr=2.0&amp;DB=6538&amp;FindType=Y&amp;SerialNum=2002651999"/>
    <hyperlink ref="A223" r:id="rId194" display="http://www.westlaw.com/Find/Default.wl?rs=dfa1.0&amp;vr=2.0&amp;DB=6538&amp;FindType=Y&amp;SerialNum=2002648670"/>
    <hyperlink ref="A224" r:id="rId195" display="http://www.westlaw.com/Find/Default.wl?rs=dfa1.0&amp;vr=2.0&amp;DB=6538&amp;FindType=Y&amp;SerialNum=2002706478"/>
    <hyperlink ref="A229" r:id="rId196" display="http://www.westlaw.com/Find/Default.wl?rs=dfa1.0&amp;vr=2.0&amp;DB=506&amp;FindType=Y&amp;SerialNum=2003598605"/>
    <hyperlink ref="A230" r:id="rId197" display="http://www.westlaw.com/Find/Default.wl?rs=dfa1.0&amp;vr=2.0&amp;DB=506&amp;FindType=Y&amp;SerialNum=2003371353"/>
    <hyperlink ref="A231" r:id="rId198" display="http://www.westlaw.com/Find/Default.wl?rs=dfa1.0&amp;vr=2.0&amp;DB=4637&amp;FindType=Y&amp;SerialNum=2003612798"/>
    <hyperlink ref="A232" r:id="rId199" display="http://www.westlaw.com/Find/Default.wl?rs=dfa1.0&amp;vr=2.0&amp;DB=4637&amp;FindType=Y&amp;SerialNum=2003582750"/>
    <hyperlink ref="A43" r:id="rId200" display="http://www.westlaw.com/Find/Default.wl?rs=dfa1.0&amp;vr=2.0&amp;DB=506&amp;FindType=Y&amp;SerialNum=200350369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9"/>
  <sheetViews>
    <sheetView zoomScale="85" zoomScaleNormal="85" zoomScalePageLayoutView="85" workbookViewId="0"/>
  </sheetViews>
  <sheetFormatPr baseColWidth="10" defaultColWidth="8.83203125" defaultRowHeight="14" x14ac:dyDescent="0"/>
  <cols>
    <col min="2" max="2" width="18.83203125" customWidth="1"/>
    <col min="3" max="3" width="34.1640625" customWidth="1"/>
    <col min="7" max="7" width="12.6640625" bestFit="1" customWidth="1"/>
    <col min="8" max="8" width="18.1640625" bestFit="1" customWidth="1"/>
    <col min="9" max="9" width="16.33203125" bestFit="1" customWidth="1"/>
  </cols>
  <sheetData>
    <row r="1" spans="1:5" s="13" customFormat="1">
      <c r="A1" s="116">
        <v>2003</v>
      </c>
      <c r="B1" s="39">
        <v>37900</v>
      </c>
      <c r="C1" s="39">
        <v>38263</v>
      </c>
      <c r="D1" s="30"/>
      <c r="E1" s="30"/>
    </row>
    <row r="2" spans="1:5" s="13" customFormat="1">
      <c r="A2" s="12"/>
      <c r="B2" s="12"/>
      <c r="C2" s="12"/>
    </row>
    <row r="3" spans="1:5" s="13" customFormat="1">
      <c r="A3" s="12"/>
      <c r="B3" s="14" t="s">
        <v>24</v>
      </c>
      <c r="C3" s="15"/>
    </row>
    <row r="4" spans="1:5" s="13" customFormat="1">
      <c r="A4" s="12"/>
      <c r="B4" s="16" t="s">
        <v>25</v>
      </c>
      <c r="C4" s="15">
        <f>D21</f>
        <v>25</v>
      </c>
    </row>
    <row r="5" spans="1:5" s="13" customFormat="1" ht="25">
      <c r="A5" s="12"/>
      <c r="B5" s="16" t="s">
        <v>26</v>
      </c>
      <c r="C5" s="15">
        <f>D47</f>
        <v>24</v>
      </c>
    </row>
    <row r="6" spans="1:5" s="13" customFormat="1" ht="37">
      <c r="A6" s="12"/>
      <c r="B6" s="16" t="s">
        <v>27</v>
      </c>
      <c r="C6" s="15">
        <v>0</v>
      </c>
    </row>
    <row r="7" spans="1:5" s="13" customFormat="1">
      <c r="A7" s="12"/>
      <c r="B7" s="16" t="s">
        <v>28</v>
      </c>
      <c r="C7" s="15">
        <v>0</v>
      </c>
    </row>
    <row r="8" spans="1:5" s="13" customFormat="1">
      <c r="A8" s="12"/>
      <c r="B8" s="16" t="s">
        <v>29</v>
      </c>
      <c r="C8" s="15">
        <f>D54</f>
        <v>5</v>
      </c>
    </row>
    <row r="9" spans="1:5" s="13" customFormat="1">
      <c r="A9" s="12"/>
      <c r="B9" s="16" t="s">
        <v>30</v>
      </c>
      <c r="C9" s="15">
        <f>D59</f>
        <v>3</v>
      </c>
    </row>
    <row r="10" spans="1:5" s="13" customFormat="1" ht="25">
      <c r="A10" s="12"/>
      <c r="B10" s="16" t="s">
        <v>14</v>
      </c>
      <c r="C10" s="15">
        <v>0</v>
      </c>
    </row>
    <row r="11" spans="1:5" s="13" customFormat="1">
      <c r="A11" s="12"/>
      <c r="B11" s="16" t="s">
        <v>15</v>
      </c>
      <c r="C11" s="15">
        <v>0</v>
      </c>
    </row>
    <row r="12" spans="1:5" s="13" customFormat="1" ht="25">
      <c r="A12" s="12"/>
      <c r="B12" s="16" t="s">
        <v>31</v>
      </c>
      <c r="C12" s="15">
        <f>D201</f>
        <v>147</v>
      </c>
    </row>
    <row r="13" spans="1:5" s="13" customFormat="1" ht="25">
      <c r="A13" s="12"/>
      <c r="B13" s="16" t="s">
        <v>32</v>
      </c>
      <c r="C13" s="15">
        <v>0</v>
      </c>
    </row>
    <row r="14" spans="1:5" s="13" customFormat="1" ht="37">
      <c r="A14" s="12"/>
      <c r="B14" s="16" t="s">
        <v>33</v>
      </c>
      <c r="C14" s="15">
        <f>D257</f>
        <v>54</v>
      </c>
    </row>
    <row r="15" spans="1:5" s="13" customFormat="1">
      <c r="A15" s="12"/>
      <c r="B15" s="16" t="s">
        <v>4</v>
      </c>
      <c r="C15" s="17">
        <f>C4+C6+C7+C8+C9+C10+C11</f>
        <v>33</v>
      </c>
    </row>
    <row r="16" spans="1:5" s="13" customFormat="1" ht="25">
      <c r="A16" s="12"/>
      <c r="B16" s="16" t="s">
        <v>34</v>
      </c>
      <c r="C16" s="15">
        <f>F269</f>
        <v>7</v>
      </c>
    </row>
    <row r="19" spans="1:9">
      <c r="A19" s="86" t="s">
        <v>35</v>
      </c>
      <c r="B19" s="98" t="s">
        <v>36</v>
      </c>
      <c r="C19" s="98" t="s">
        <v>37</v>
      </c>
      <c r="D19" s="86" t="s">
        <v>38</v>
      </c>
      <c r="E19" s="86" t="s">
        <v>39</v>
      </c>
      <c r="F19" s="86" t="s">
        <v>40</v>
      </c>
      <c r="G19" s="86" t="s">
        <v>41</v>
      </c>
      <c r="H19" s="86" t="s">
        <v>42</v>
      </c>
      <c r="I19" s="86" t="s">
        <v>1466</v>
      </c>
    </row>
    <row r="20" spans="1:9" ht="42">
      <c r="A20" s="97">
        <v>126</v>
      </c>
      <c r="B20" s="83" t="s">
        <v>5595</v>
      </c>
      <c r="C20" s="84" t="s">
        <v>5596</v>
      </c>
      <c r="D20" s="86" t="s">
        <v>47</v>
      </c>
      <c r="E20" s="86"/>
      <c r="F20" s="86" t="s">
        <v>78</v>
      </c>
      <c r="G20" s="86" t="s">
        <v>167</v>
      </c>
      <c r="H20" s="86" t="s">
        <v>47</v>
      </c>
      <c r="I20" s="86" t="s">
        <v>78</v>
      </c>
    </row>
    <row r="21" spans="1:9">
      <c r="A21" s="97"/>
      <c r="B21" s="83"/>
      <c r="C21" s="120" t="s">
        <v>95</v>
      </c>
      <c r="D21" s="121">
        <f>COUNTA(D20)+D47</f>
        <v>25</v>
      </c>
      <c r="E21" s="86"/>
      <c r="F21" s="86"/>
      <c r="G21" s="86"/>
      <c r="H21" s="86"/>
      <c r="I21" s="86"/>
    </row>
    <row r="22" spans="1:9">
      <c r="A22" s="97"/>
      <c r="B22" s="83"/>
      <c r="C22" s="84"/>
      <c r="D22" s="86"/>
      <c r="E22" s="86"/>
      <c r="F22" s="86"/>
      <c r="G22" s="86"/>
      <c r="H22" s="86"/>
      <c r="I22" s="86"/>
    </row>
    <row r="23" spans="1:9" ht="56">
      <c r="A23" s="97">
        <v>14</v>
      </c>
      <c r="B23" s="83" t="s">
        <v>5385</v>
      </c>
      <c r="C23" s="84" t="s">
        <v>5386</v>
      </c>
      <c r="D23" s="86" t="s">
        <v>47</v>
      </c>
      <c r="E23" s="86" t="s">
        <v>48</v>
      </c>
      <c r="F23" s="86" t="s">
        <v>49</v>
      </c>
      <c r="G23" s="86"/>
      <c r="H23" s="86"/>
      <c r="I23" s="86"/>
    </row>
    <row r="24" spans="1:9" ht="42">
      <c r="A24" s="97">
        <v>24</v>
      </c>
      <c r="B24" s="83" t="s">
        <v>5403</v>
      </c>
      <c r="C24" s="84" t="s">
        <v>5404</v>
      </c>
      <c r="D24" s="86" t="s">
        <v>47</v>
      </c>
      <c r="E24" s="86" t="s">
        <v>48</v>
      </c>
      <c r="F24" s="86" t="s">
        <v>49</v>
      </c>
      <c r="G24" s="86"/>
      <c r="H24" s="86"/>
      <c r="I24" s="86"/>
    </row>
    <row r="25" spans="1:9" ht="42">
      <c r="A25" s="97">
        <v>26</v>
      </c>
      <c r="B25" s="83" t="s">
        <v>5407</v>
      </c>
      <c r="C25" s="84" t="s">
        <v>5408</v>
      </c>
      <c r="D25" s="86" t="s">
        <v>47</v>
      </c>
      <c r="E25" s="86" t="s">
        <v>48</v>
      </c>
      <c r="F25" s="86" t="s">
        <v>49</v>
      </c>
      <c r="G25" s="86"/>
      <c r="H25" s="86"/>
      <c r="I25" s="86"/>
    </row>
    <row r="26" spans="1:9" ht="28">
      <c r="A26" s="97">
        <v>27</v>
      </c>
      <c r="B26" s="83" t="s">
        <v>5409</v>
      </c>
      <c r="C26" s="84" t="s">
        <v>5410</v>
      </c>
      <c r="D26" s="86" t="s">
        <v>47</v>
      </c>
      <c r="E26" s="86" t="s">
        <v>48</v>
      </c>
      <c r="F26" s="86" t="s">
        <v>49</v>
      </c>
      <c r="G26" s="86"/>
      <c r="H26" s="86"/>
      <c r="I26" s="86"/>
    </row>
    <row r="27" spans="1:9" ht="42">
      <c r="A27" s="97">
        <v>28</v>
      </c>
      <c r="B27" s="83" t="s">
        <v>5411</v>
      </c>
      <c r="C27" s="84" t="s">
        <v>5412</v>
      </c>
      <c r="D27" s="86" t="s">
        <v>47</v>
      </c>
      <c r="E27" s="86" t="s">
        <v>48</v>
      </c>
      <c r="F27" s="86" t="s">
        <v>49</v>
      </c>
      <c r="G27" s="86"/>
      <c r="H27" s="86"/>
      <c r="I27" s="86"/>
    </row>
    <row r="28" spans="1:9" ht="28">
      <c r="A28" s="97">
        <v>30</v>
      </c>
      <c r="B28" s="83" t="s">
        <v>5415</v>
      </c>
      <c r="C28" s="84" t="s">
        <v>5416</v>
      </c>
      <c r="D28" s="86" t="s">
        <v>47</v>
      </c>
      <c r="E28" s="86" t="s">
        <v>48</v>
      </c>
      <c r="F28" s="86" t="s">
        <v>49</v>
      </c>
      <c r="G28" s="86"/>
      <c r="H28" s="86"/>
      <c r="I28" s="86"/>
    </row>
    <row r="29" spans="1:9" ht="42">
      <c r="A29" s="97">
        <v>33</v>
      </c>
      <c r="B29" s="83" t="s">
        <v>5421</v>
      </c>
      <c r="C29" s="84" t="s">
        <v>5422</v>
      </c>
      <c r="D29" s="86" t="s">
        <v>47</v>
      </c>
      <c r="E29" s="86" t="s">
        <v>48</v>
      </c>
      <c r="F29" s="86" t="s">
        <v>49</v>
      </c>
      <c r="G29" s="86"/>
      <c r="H29" s="86"/>
      <c r="I29" s="86"/>
    </row>
    <row r="30" spans="1:9" ht="42">
      <c r="A30" s="97">
        <v>39</v>
      </c>
      <c r="B30" s="83" t="s">
        <v>5433</v>
      </c>
      <c r="C30" s="84" t="s">
        <v>5434</v>
      </c>
      <c r="D30" s="86" t="s">
        <v>47</v>
      </c>
      <c r="E30" s="86" t="s">
        <v>48</v>
      </c>
      <c r="F30" s="86" t="s">
        <v>49</v>
      </c>
      <c r="G30" s="86"/>
      <c r="H30" s="86"/>
      <c r="I30" s="86"/>
    </row>
    <row r="31" spans="1:9" ht="28">
      <c r="A31" s="97">
        <v>46</v>
      </c>
      <c r="B31" s="83" t="s">
        <v>5447</v>
      </c>
      <c r="C31" s="84" t="s">
        <v>5448</v>
      </c>
      <c r="D31" s="86" t="s">
        <v>47</v>
      </c>
      <c r="E31" s="86" t="s">
        <v>48</v>
      </c>
      <c r="F31" s="86" t="s">
        <v>49</v>
      </c>
      <c r="G31" s="86"/>
      <c r="H31" s="86"/>
      <c r="I31" s="86"/>
    </row>
    <row r="32" spans="1:9" ht="42">
      <c r="A32" s="97">
        <v>51</v>
      </c>
      <c r="B32" s="83" t="s">
        <v>5457</v>
      </c>
      <c r="C32" s="84" t="s">
        <v>5458</v>
      </c>
      <c r="D32" s="86" t="s">
        <v>47</v>
      </c>
      <c r="E32" s="86" t="s">
        <v>48</v>
      </c>
      <c r="F32" s="86" t="s">
        <v>49</v>
      </c>
      <c r="G32" s="86"/>
      <c r="H32" s="86"/>
      <c r="I32" s="86"/>
    </row>
    <row r="33" spans="1:9" ht="28">
      <c r="A33" s="97">
        <v>57</v>
      </c>
      <c r="B33" s="83" t="s">
        <v>5469</v>
      </c>
      <c r="C33" s="84" t="s">
        <v>5470</v>
      </c>
      <c r="D33" s="86" t="s">
        <v>47</v>
      </c>
      <c r="E33" s="86" t="s">
        <v>48</v>
      </c>
      <c r="F33" s="86" t="s">
        <v>49</v>
      </c>
      <c r="G33" s="86"/>
      <c r="H33" s="86"/>
      <c r="I33" s="86"/>
    </row>
    <row r="34" spans="1:9" ht="28">
      <c r="A34" s="97">
        <v>62</v>
      </c>
      <c r="B34" s="83" t="s">
        <v>5479</v>
      </c>
      <c r="C34" s="84" t="s">
        <v>5480</v>
      </c>
      <c r="D34" s="86" t="s">
        <v>47</v>
      </c>
      <c r="E34" s="86" t="s">
        <v>5481</v>
      </c>
      <c r="F34" s="86" t="s">
        <v>49</v>
      </c>
      <c r="G34" s="86"/>
      <c r="H34" s="86"/>
      <c r="I34" s="86"/>
    </row>
    <row r="35" spans="1:9" ht="42">
      <c r="A35" s="97">
        <v>65</v>
      </c>
      <c r="B35" s="83" t="s">
        <v>5486</v>
      </c>
      <c r="C35" s="84" t="s">
        <v>5487</v>
      </c>
      <c r="D35" s="86" t="s">
        <v>47</v>
      </c>
      <c r="E35" s="86" t="s">
        <v>48</v>
      </c>
      <c r="F35" s="86" t="s">
        <v>49</v>
      </c>
      <c r="G35" s="86"/>
      <c r="H35" s="86"/>
      <c r="I35" s="86"/>
    </row>
    <row r="36" spans="1:9" ht="42">
      <c r="A36" s="97">
        <v>71</v>
      </c>
      <c r="B36" s="83" t="s">
        <v>5498</v>
      </c>
      <c r="C36" s="84" t="s">
        <v>5499</v>
      </c>
      <c r="D36" s="86" t="s">
        <v>47</v>
      </c>
      <c r="E36" s="86" t="s">
        <v>48</v>
      </c>
      <c r="F36" s="86" t="s">
        <v>49</v>
      </c>
      <c r="G36" s="86"/>
      <c r="H36" s="86"/>
      <c r="I36" s="86"/>
    </row>
    <row r="37" spans="1:9" ht="28">
      <c r="A37" s="97">
        <v>113</v>
      </c>
      <c r="B37" s="83" t="s">
        <v>1586</v>
      </c>
      <c r="C37" s="84" t="s">
        <v>5573</v>
      </c>
      <c r="D37" s="86" t="s">
        <v>47</v>
      </c>
      <c r="E37" s="86" t="s">
        <v>48</v>
      </c>
      <c r="F37" s="86" t="s">
        <v>49</v>
      </c>
      <c r="G37" s="86"/>
      <c r="H37" s="86"/>
      <c r="I37" s="86"/>
    </row>
    <row r="38" spans="1:9" ht="28">
      <c r="A38" s="97">
        <v>124</v>
      </c>
      <c r="B38" s="83" t="s">
        <v>5591</v>
      </c>
      <c r="C38" s="84" t="s">
        <v>5592</v>
      </c>
      <c r="D38" s="86" t="s">
        <v>47</v>
      </c>
      <c r="E38" s="86" t="s">
        <v>48</v>
      </c>
      <c r="F38" s="86" t="s">
        <v>49</v>
      </c>
      <c r="G38" s="86"/>
      <c r="H38" s="86"/>
      <c r="I38" s="86"/>
    </row>
    <row r="39" spans="1:9" ht="42">
      <c r="A39" s="97">
        <v>137</v>
      </c>
      <c r="B39" s="83" t="s">
        <v>5615</v>
      </c>
      <c r="C39" s="84" t="s">
        <v>5616</v>
      </c>
      <c r="D39" s="86" t="s">
        <v>47</v>
      </c>
      <c r="E39" s="86" t="s">
        <v>48</v>
      </c>
      <c r="F39" s="86" t="s">
        <v>49</v>
      </c>
      <c r="G39" s="86"/>
      <c r="H39" s="86"/>
      <c r="I39" s="86"/>
    </row>
    <row r="40" spans="1:9" ht="28">
      <c r="A40" s="97">
        <v>142</v>
      </c>
      <c r="B40" s="83" t="s">
        <v>5625</v>
      </c>
      <c r="C40" s="84" t="s">
        <v>5626</v>
      </c>
      <c r="D40" s="87" t="s">
        <v>47</v>
      </c>
      <c r="E40" s="87" t="s">
        <v>5481</v>
      </c>
      <c r="F40" s="87" t="s">
        <v>49</v>
      </c>
      <c r="G40" s="86"/>
      <c r="H40" s="86"/>
      <c r="I40" s="86"/>
    </row>
    <row r="41" spans="1:9" ht="28">
      <c r="A41" s="97">
        <v>159</v>
      </c>
      <c r="B41" s="83" t="s">
        <v>5657</v>
      </c>
      <c r="C41" s="84" t="s">
        <v>5658</v>
      </c>
      <c r="D41" s="86" t="s">
        <v>47</v>
      </c>
      <c r="E41" s="86" t="s">
        <v>48</v>
      </c>
      <c r="F41" s="86" t="s">
        <v>49</v>
      </c>
      <c r="G41" s="86"/>
      <c r="H41" s="86"/>
      <c r="I41" s="86"/>
    </row>
    <row r="42" spans="1:9" ht="28">
      <c r="A42" s="97">
        <v>180</v>
      </c>
      <c r="B42" s="83" t="s">
        <v>5698</v>
      </c>
      <c r="C42" s="84" t="s">
        <v>5699</v>
      </c>
      <c r="D42" s="86" t="s">
        <v>47</v>
      </c>
      <c r="E42" s="86" t="s">
        <v>48</v>
      </c>
      <c r="F42" s="86" t="s">
        <v>49</v>
      </c>
      <c r="G42" s="86"/>
      <c r="H42" s="86"/>
      <c r="I42" s="86"/>
    </row>
    <row r="43" spans="1:9" ht="28">
      <c r="A43" s="97">
        <v>197</v>
      </c>
      <c r="B43" s="83" t="s">
        <v>2450</v>
      </c>
      <c r="C43" s="84" t="s">
        <v>5730</v>
      </c>
      <c r="D43" s="86" t="s">
        <v>47</v>
      </c>
      <c r="E43" s="86" t="s">
        <v>48</v>
      </c>
      <c r="F43" s="86" t="s">
        <v>49</v>
      </c>
      <c r="G43" s="86"/>
      <c r="H43" s="86"/>
      <c r="I43" s="86"/>
    </row>
    <row r="44" spans="1:9" ht="28">
      <c r="A44" s="97">
        <v>202</v>
      </c>
      <c r="B44" s="83" t="s">
        <v>5739</v>
      </c>
      <c r="C44" s="84" t="s">
        <v>5740</v>
      </c>
      <c r="D44" s="86" t="s">
        <v>47</v>
      </c>
      <c r="E44" s="86" t="s">
        <v>5481</v>
      </c>
      <c r="F44" s="86" t="s">
        <v>49</v>
      </c>
      <c r="G44" s="86"/>
      <c r="H44" s="86"/>
      <c r="I44" s="86"/>
    </row>
    <row r="45" spans="1:9" ht="42">
      <c r="A45" s="97">
        <v>217</v>
      </c>
      <c r="B45" s="83" t="s">
        <v>5768</v>
      </c>
      <c r="C45" s="84" t="s">
        <v>5769</v>
      </c>
      <c r="D45" s="86" t="s">
        <v>47</v>
      </c>
      <c r="E45" s="86" t="s">
        <v>48</v>
      </c>
      <c r="F45" s="86" t="s">
        <v>49</v>
      </c>
      <c r="G45" s="86"/>
      <c r="H45" s="86"/>
      <c r="I45" s="86"/>
    </row>
    <row r="46" spans="1:9" ht="28">
      <c r="A46" s="97">
        <v>229</v>
      </c>
      <c r="B46" s="83" t="s">
        <v>5791</v>
      </c>
      <c r="C46" s="84" t="s">
        <v>5792</v>
      </c>
      <c r="D46" s="86" t="s">
        <v>47</v>
      </c>
      <c r="E46" s="86" t="s">
        <v>5481</v>
      </c>
      <c r="F46" s="86" t="s">
        <v>49</v>
      </c>
      <c r="G46" s="86"/>
      <c r="H46" s="86"/>
      <c r="I46" s="86"/>
    </row>
    <row r="47" spans="1:9">
      <c r="A47" s="97"/>
      <c r="B47" s="83"/>
      <c r="C47" s="120" t="s">
        <v>95</v>
      </c>
      <c r="D47" s="121">
        <f>COUNTA(D23:D46)</f>
        <v>24</v>
      </c>
      <c r="E47" s="86"/>
      <c r="F47" s="86"/>
      <c r="G47" s="86"/>
      <c r="H47" s="86"/>
      <c r="I47" s="86"/>
    </row>
    <row r="48" spans="1:9">
      <c r="A48" s="97"/>
      <c r="B48" s="83"/>
      <c r="C48" s="84"/>
      <c r="D48" s="86"/>
      <c r="E48" s="86"/>
      <c r="F48" s="86"/>
      <c r="G48" s="86"/>
      <c r="H48" s="86"/>
      <c r="I48" s="86"/>
    </row>
    <row r="49" spans="1:9" ht="28">
      <c r="A49" s="97">
        <v>68</v>
      </c>
      <c r="B49" s="83" t="s">
        <v>5492</v>
      </c>
      <c r="C49" s="84" t="s">
        <v>5493</v>
      </c>
      <c r="D49" s="86" t="s">
        <v>79</v>
      </c>
      <c r="E49" s="86"/>
      <c r="F49" s="86" t="s">
        <v>78</v>
      </c>
      <c r="G49" s="86" t="s">
        <v>167</v>
      </c>
      <c r="H49" s="86" t="s">
        <v>79</v>
      </c>
      <c r="I49" s="86" t="s">
        <v>78</v>
      </c>
    </row>
    <row r="50" spans="1:9" ht="42">
      <c r="A50" s="97">
        <v>73</v>
      </c>
      <c r="B50" s="83" t="s">
        <v>5502</v>
      </c>
      <c r="C50" s="84" t="s">
        <v>5503</v>
      </c>
      <c r="D50" s="86" t="s">
        <v>79</v>
      </c>
      <c r="E50" s="86"/>
      <c r="F50" s="86" t="s">
        <v>49</v>
      </c>
      <c r="G50" s="86"/>
      <c r="H50" s="86"/>
      <c r="I50" s="86"/>
    </row>
    <row r="51" spans="1:9" ht="28">
      <c r="A51" s="97">
        <v>177</v>
      </c>
      <c r="B51" s="83" t="s">
        <v>5692</v>
      </c>
      <c r="C51" s="84" t="s">
        <v>5693</v>
      </c>
      <c r="D51" s="85" t="s">
        <v>79</v>
      </c>
      <c r="E51" s="85"/>
      <c r="F51" s="85" t="s">
        <v>49</v>
      </c>
      <c r="G51" s="86"/>
      <c r="H51" s="86"/>
      <c r="I51" s="86"/>
    </row>
    <row r="52" spans="1:9" s="50" customFormat="1" ht="28">
      <c r="A52" s="144">
        <v>172</v>
      </c>
      <c r="B52" s="145" t="s">
        <v>5682</v>
      </c>
      <c r="C52" s="146" t="s">
        <v>5683</v>
      </c>
      <c r="D52" s="147" t="s">
        <v>80</v>
      </c>
      <c r="E52" s="147"/>
      <c r="F52" s="147" t="s">
        <v>78</v>
      </c>
      <c r="G52" s="147" t="s">
        <v>167</v>
      </c>
      <c r="H52" s="147" t="s">
        <v>80</v>
      </c>
      <c r="I52" s="147" t="s">
        <v>78</v>
      </c>
    </row>
    <row r="53" spans="1:9" ht="28">
      <c r="A53" s="97">
        <v>195</v>
      </c>
      <c r="B53" s="83" t="s">
        <v>5726</v>
      </c>
      <c r="C53" s="84" t="s">
        <v>5727</v>
      </c>
      <c r="D53" s="85" t="s">
        <v>79</v>
      </c>
      <c r="E53" s="78" t="s">
        <v>4626</v>
      </c>
      <c r="F53" s="85" t="s">
        <v>49</v>
      </c>
      <c r="G53" s="86"/>
      <c r="H53" s="86"/>
      <c r="I53" s="86"/>
    </row>
    <row r="54" spans="1:9">
      <c r="A54" s="97"/>
      <c r="B54" s="83"/>
      <c r="C54" s="120" t="s">
        <v>95</v>
      </c>
      <c r="D54" s="122">
        <f>COUNTA(D49:D53)</f>
        <v>5</v>
      </c>
      <c r="E54" s="78"/>
      <c r="F54" s="85"/>
      <c r="G54" s="86"/>
      <c r="H54" s="86"/>
      <c r="I54" s="86"/>
    </row>
    <row r="55" spans="1:9">
      <c r="A55" s="97"/>
      <c r="B55" s="83"/>
      <c r="C55" s="84"/>
      <c r="D55" s="85"/>
      <c r="E55" s="78"/>
      <c r="F55" s="85"/>
      <c r="G55" s="86"/>
      <c r="H55" s="86"/>
      <c r="I55" s="86"/>
    </row>
    <row r="56" spans="1:9" ht="42">
      <c r="A56" s="97">
        <v>63</v>
      </c>
      <c r="B56" s="83" t="s">
        <v>5482</v>
      </c>
      <c r="C56" s="84" t="s">
        <v>5483</v>
      </c>
      <c r="D56" s="86" t="s">
        <v>100</v>
      </c>
      <c r="E56" s="86"/>
      <c r="F56" s="86" t="s">
        <v>49</v>
      </c>
      <c r="G56" s="86"/>
      <c r="H56" s="86"/>
      <c r="I56" s="86"/>
    </row>
    <row r="57" spans="1:9" ht="28">
      <c r="A57" s="97">
        <v>69</v>
      </c>
      <c r="B57" s="83" t="s">
        <v>5494</v>
      </c>
      <c r="C57" s="84" t="s">
        <v>5495</v>
      </c>
      <c r="D57" s="86" t="s">
        <v>100</v>
      </c>
      <c r="E57" s="86"/>
      <c r="F57" s="86" t="s">
        <v>49</v>
      </c>
      <c r="G57" s="86"/>
      <c r="H57" s="86"/>
      <c r="I57" s="86"/>
    </row>
    <row r="58" spans="1:9" ht="28">
      <c r="A58" s="97">
        <v>120</v>
      </c>
      <c r="B58" s="83" t="s">
        <v>5584</v>
      </c>
      <c r="C58" s="84" t="s">
        <v>5585</v>
      </c>
      <c r="D58" s="86" t="s">
        <v>100</v>
      </c>
      <c r="E58" s="86"/>
      <c r="F58" s="86" t="s">
        <v>49</v>
      </c>
      <c r="G58" s="86"/>
      <c r="H58" s="86"/>
      <c r="I58" s="86"/>
    </row>
    <row r="59" spans="1:9">
      <c r="A59" s="97"/>
      <c r="B59" s="83"/>
      <c r="C59" s="120" t="s">
        <v>95</v>
      </c>
      <c r="D59" s="121">
        <f>COUNTA(D56:D58)</f>
        <v>3</v>
      </c>
      <c r="E59" s="86"/>
      <c r="F59" s="86"/>
      <c r="G59" s="86"/>
      <c r="H59" s="86"/>
      <c r="I59" s="86"/>
    </row>
    <row r="60" spans="1:9">
      <c r="A60" s="97"/>
      <c r="B60" s="83"/>
      <c r="C60" s="84"/>
      <c r="D60" s="86"/>
      <c r="E60" s="86"/>
      <c r="F60" s="86"/>
      <c r="G60" s="86"/>
      <c r="H60" s="86"/>
      <c r="I60" s="86"/>
    </row>
    <row r="61" spans="1:9" ht="28">
      <c r="A61" s="97">
        <v>2</v>
      </c>
      <c r="B61" s="83" t="s">
        <v>5363</v>
      </c>
      <c r="C61" s="84" t="s">
        <v>5364</v>
      </c>
      <c r="D61" s="86" t="s">
        <v>111</v>
      </c>
      <c r="E61" s="78" t="s">
        <v>4626</v>
      </c>
      <c r="F61" s="86" t="s">
        <v>49</v>
      </c>
      <c r="G61" s="86"/>
      <c r="H61" s="86"/>
      <c r="I61" s="86"/>
    </row>
    <row r="62" spans="1:9" ht="28">
      <c r="A62" s="97">
        <v>3</v>
      </c>
      <c r="B62" s="83" t="s">
        <v>262</v>
      </c>
      <c r="C62" s="84" t="s">
        <v>5365</v>
      </c>
      <c r="D62" s="86" t="s">
        <v>111</v>
      </c>
      <c r="E62" s="78" t="s">
        <v>4626</v>
      </c>
      <c r="F62" s="86" t="s">
        <v>49</v>
      </c>
      <c r="G62" s="86"/>
      <c r="H62" s="86"/>
      <c r="I62" s="86"/>
    </row>
    <row r="63" spans="1:9" ht="28">
      <c r="A63" s="97">
        <v>4</v>
      </c>
      <c r="B63" s="83" t="s">
        <v>703</v>
      </c>
      <c r="C63" s="84" t="s">
        <v>5366</v>
      </c>
      <c r="D63" s="86" t="s">
        <v>111</v>
      </c>
      <c r="E63" s="78" t="s">
        <v>4626</v>
      </c>
      <c r="F63" s="86" t="s">
        <v>49</v>
      </c>
      <c r="G63" s="86"/>
      <c r="H63" s="86"/>
      <c r="I63" s="86"/>
    </row>
    <row r="64" spans="1:9" ht="28">
      <c r="A64" s="97">
        <v>6</v>
      </c>
      <c r="B64" s="83" t="s">
        <v>5369</v>
      </c>
      <c r="C64" s="84" t="s">
        <v>5370</v>
      </c>
      <c r="D64" s="86" t="s">
        <v>111</v>
      </c>
      <c r="E64" s="78" t="s">
        <v>4626</v>
      </c>
      <c r="F64" s="86" t="s">
        <v>49</v>
      </c>
      <c r="G64" s="86"/>
      <c r="H64" s="86"/>
      <c r="I64" s="86"/>
    </row>
    <row r="65" spans="1:9" ht="28">
      <c r="A65" s="97">
        <v>7</v>
      </c>
      <c r="B65" s="83" t="s">
        <v>5371</v>
      </c>
      <c r="C65" s="84" t="s">
        <v>5372</v>
      </c>
      <c r="D65" s="86" t="s">
        <v>111</v>
      </c>
      <c r="E65" s="78" t="s">
        <v>4626</v>
      </c>
      <c r="F65" s="86" t="s">
        <v>49</v>
      </c>
      <c r="G65" s="86"/>
      <c r="H65" s="86"/>
      <c r="I65" s="86"/>
    </row>
    <row r="66" spans="1:9" ht="28">
      <c r="A66" s="97">
        <v>8</v>
      </c>
      <c r="B66" s="83" t="s">
        <v>5373</v>
      </c>
      <c r="C66" s="84" t="s">
        <v>5374</v>
      </c>
      <c r="D66" s="86" t="s">
        <v>111</v>
      </c>
      <c r="E66" s="78" t="s">
        <v>4626</v>
      </c>
      <c r="F66" s="86" t="s">
        <v>49</v>
      </c>
      <c r="G66" s="86"/>
      <c r="H66" s="86"/>
      <c r="I66" s="86"/>
    </row>
    <row r="67" spans="1:9" ht="28">
      <c r="A67" s="97">
        <v>9</v>
      </c>
      <c r="B67" s="83" t="s">
        <v>5375</v>
      </c>
      <c r="C67" s="84" t="s">
        <v>5376</v>
      </c>
      <c r="D67" s="86" t="s">
        <v>111</v>
      </c>
      <c r="E67" s="78" t="s">
        <v>4626</v>
      </c>
      <c r="F67" s="86" t="s">
        <v>49</v>
      </c>
      <c r="G67" s="86"/>
      <c r="H67" s="86"/>
      <c r="I67" s="86"/>
    </row>
    <row r="68" spans="1:9" ht="28">
      <c r="A68" s="97">
        <v>11</v>
      </c>
      <c r="B68" s="83" t="s">
        <v>5379</v>
      </c>
      <c r="C68" s="84" t="s">
        <v>5380</v>
      </c>
      <c r="D68" s="86" t="s">
        <v>111</v>
      </c>
      <c r="E68" s="78" t="s">
        <v>4626</v>
      </c>
      <c r="F68" s="86" t="s">
        <v>49</v>
      </c>
      <c r="G68" s="86"/>
      <c r="H68" s="86"/>
      <c r="I68" s="86"/>
    </row>
    <row r="69" spans="1:9" ht="28">
      <c r="A69" s="97">
        <v>13</v>
      </c>
      <c r="B69" s="83" t="s">
        <v>5383</v>
      </c>
      <c r="C69" s="84" t="s">
        <v>5384</v>
      </c>
      <c r="D69" s="86" t="s">
        <v>111</v>
      </c>
      <c r="E69" s="78" t="s">
        <v>4626</v>
      </c>
      <c r="F69" s="86" t="s">
        <v>49</v>
      </c>
      <c r="G69" s="86"/>
      <c r="H69" s="86"/>
      <c r="I69" s="86"/>
    </row>
    <row r="70" spans="1:9" ht="28">
      <c r="A70" s="97">
        <v>15</v>
      </c>
      <c r="B70" s="83" t="s">
        <v>5387</v>
      </c>
      <c r="C70" s="84" t="s">
        <v>5388</v>
      </c>
      <c r="D70" s="86" t="s">
        <v>111</v>
      </c>
      <c r="E70" s="78" t="s">
        <v>4626</v>
      </c>
      <c r="F70" s="86" t="s">
        <v>49</v>
      </c>
      <c r="G70" s="86"/>
      <c r="H70" s="86"/>
      <c r="I70" s="86"/>
    </row>
    <row r="71" spans="1:9" ht="28">
      <c r="A71" s="97">
        <v>16</v>
      </c>
      <c r="B71" s="83" t="s">
        <v>5389</v>
      </c>
      <c r="C71" s="84" t="s">
        <v>5390</v>
      </c>
      <c r="D71" s="86" t="s">
        <v>111</v>
      </c>
      <c r="E71" s="78" t="s">
        <v>4626</v>
      </c>
      <c r="F71" s="86" t="s">
        <v>49</v>
      </c>
      <c r="G71" s="86"/>
      <c r="H71" s="86"/>
      <c r="I71" s="86"/>
    </row>
    <row r="72" spans="1:9" ht="28">
      <c r="A72" s="97">
        <v>17</v>
      </c>
      <c r="B72" s="83" t="s">
        <v>5391</v>
      </c>
      <c r="C72" s="84" t="s">
        <v>5392</v>
      </c>
      <c r="D72" s="86" t="s">
        <v>111</v>
      </c>
      <c r="E72" s="78" t="s">
        <v>4626</v>
      </c>
      <c r="F72" s="86" t="s">
        <v>49</v>
      </c>
      <c r="G72" s="86"/>
      <c r="H72" s="86"/>
      <c r="I72" s="86"/>
    </row>
    <row r="73" spans="1:9" ht="28">
      <c r="A73" s="97">
        <v>18</v>
      </c>
      <c r="B73" s="83" t="s">
        <v>5393</v>
      </c>
      <c r="C73" s="84" t="s">
        <v>5394</v>
      </c>
      <c r="D73" s="86" t="s">
        <v>111</v>
      </c>
      <c r="E73" s="86"/>
      <c r="F73" s="86" t="s">
        <v>49</v>
      </c>
      <c r="G73" s="86"/>
      <c r="H73" s="86"/>
      <c r="I73" s="86"/>
    </row>
    <row r="74" spans="1:9" ht="28">
      <c r="A74" s="97">
        <v>19</v>
      </c>
      <c r="B74" s="83" t="s">
        <v>152</v>
      </c>
      <c r="C74" s="84" t="s">
        <v>5395</v>
      </c>
      <c r="D74" s="86" t="s">
        <v>111</v>
      </c>
      <c r="E74" s="78" t="s">
        <v>4626</v>
      </c>
      <c r="F74" s="86" t="s">
        <v>49</v>
      </c>
      <c r="G74" s="86"/>
      <c r="H74" s="86"/>
      <c r="I74" s="86"/>
    </row>
    <row r="75" spans="1:9" ht="28">
      <c r="A75" s="97">
        <v>22</v>
      </c>
      <c r="B75" s="83" t="s">
        <v>134</v>
      </c>
      <c r="C75" s="84" t="s">
        <v>5400</v>
      </c>
      <c r="D75" s="86" t="s">
        <v>111</v>
      </c>
      <c r="E75" s="86"/>
      <c r="F75" s="86" t="s">
        <v>49</v>
      </c>
      <c r="G75" s="86"/>
      <c r="H75" s="86"/>
      <c r="I75" s="86"/>
    </row>
    <row r="76" spans="1:9" ht="42">
      <c r="A76" s="97">
        <v>23</v>
      </c>
      <c r="B76" s="83" t="s">
        <v>5401</v>
      </c>
      <c r="C76" s="84" t="s">
        <v>5402</v>
      </c>
      <c r="D76" s="86" t="s">
        <v>111</v>
      </c>
      <c r="E76" s="86"/>
      <c r="F76" s="86" t="s">
        <v>49</v>
      </c>
      <c r="G76" s="86"/>
      <c r="H76" s="86"/>
      <c r="I76" s="86"/>
    </row>
    <row r="77" spans="1:9" ht="28">
      <c r="A77" s="97">
        <v>25</v>
      </c>
      <c r="B77" s="83" t="s">
        <v>5405</v>
      </c>
      <c r="C77" s="84" t="s">
        <v>5406</v>
      </c>
      <c r="D77" s="86" t="s">
        <v>111</v>
      </c>
      <c r="E77" s="78" t="s">
        <v>4626</v>
      </c>
      <c r="F77" s="86" t="s">
        <v>49</v>
      </c>
      <c r="G77" s="86"/>
      <c r="H77" s="86"/>
      <c r="I77" s="86"/>
    </row>
    <row r="78" spans="1:9" ht="28">
      <c r="A78" s="97">
        <v>29</v>
      </c>
      <c r="B78" s="83" t="s">
        <v>5413</v>
      </c>
      <c r="C78" s="84" t="s">
        <v>5414</v>
      </c>
      <c r="D78" s="86" t="s">
        <v>111</v>
      </c>
      <c r="E78" s="78" t="s">
        <v>4626</v>
      </c>
      <c r="F78" s="86" t="s">
        <v>49</v>
      </c>
      <c r="G78" s="86"/>
      <c r="H78" s="86"/>
      <c r="I78" s="86"/>
    </row>
    <row r="79" spans="1:9" ht="28">
      <c r="A79" s="97">
        <v>31</v>
      </c>
      <c r="B79" s="83" t="s">
        <v>5417</v>
      </c>
      <c r="C79" s="84" t="s">
        <v>5418</v>
      </c>
      <c r="D79" s="86" t="s">
        <v>111</v>
      </c>
      <c r="E79" s="78" t="s">
        <v>4626</v>
      </c>
      <c r="F79" s="86" t="s">
        <v>49</v>
      </c>
      <c r="G79" s="86"/>
      <c r="H79" s="86"/>
      <c r="I79" s="86"/>
    </row>
    <row r="80" spans="1:9" ht="42">
      <c r="A80" s="97">
        <v>34</v>
      </c>
      <c r="B80" s="83" t="s">
        <v>5423</v>
      </c>
      <c r="C80" s="84" t="s">
        <v>5424</v>
      </c>
      <c r="D80" s="86" t="s">
        <v>111</v>
      </c>
      <c r="E80" s="86"/>
      <c r="F80" s="86" t="s">
        <v>49</v>
      </c>
      <c r="G80" s="86"/>
      <c r="H80" s="86"/>
      <c r="I80" s="86"/>
    </row>
    <row r="81" spans="1:9" ht="42">
      <c r="A81" s="97">
        <v>35</v>
      </c>
      <c r="B81" s="83" t="s">
        <v>5425</v>
      </c>
      <c r="C81" s="84" t="s">
        <v>5426</v>
      </c>
      <c r="D81" s="86" t="s">
        <v>111</v>
      </c>
      <c r="E81" s="86"/>
      <c r="F81" s="86" t="s">
        <v>49</v>
      </c>
      <c r="G81" s="86"/>
      <c r="H81" s="86"/>
      <c r="I81" s="86"/>
    </row>
    <row r="82" spans="1:9" ht="28">
      <c r="A82" s="97">
        <v>38</v>
      </c>
      <c r="B82" s="83" t="s">
        <v>5431</v>
      </c>
      <c r="C82" s="84" t="s">
        <v>5432</v>
      </c>
      <c r="D82" s="86" t="s">
        <v>111</v>
      </c>
      <c r="E82" s="78" t="s">
        <v>4626</v>
      </c>
      <c r="F82" s="86" t="s">
        <v>49</v>
      </c>
      <c r="G82" s="86"/>
      <c r="H82" s="86"/>
      <c r="I82" s="86"/>
    </row>
    <row r="83" spans="1:9" ht="42">
      <c r="A83" s="97">
        <v>40</v>
      </c>
      <c r="B83" s="83" t="s">
        <v>5435</v>
      </c>
      <c r="C83" s="84" t="s">
        <v>5436</v>
      </c>
      <c r="D83" s="86" t="s">
        <v>111</v>
      </c>
      <c r="E83" s="78" t="s">
        <v>4626</v>
      </c>
      <c r="F83" s="86" t="s">
        <v>49</v>
      </c>
      <c r="G83" s="86"/>
      <c r="H83" s="86"/>
      <c r="I83" s="86"/>
    </row>
    <row r="84" spans="1:9" ht="42">
      <c r="A84" s="97">
        <v>41</v>
      </c>
      <c r="B84" s="83" t="s">
        <v>5437</v>
      </c>
      <c r="C84" s="84" t="s">
        <v>5438</v>
      </c>
      <c r="D84" s="86" t="s">
        <v>111</v>
      </c>
      <c r="E84" s="78" t="s">
        <v>4626</v>
      </c>
      <c r="F84" s="86" t="s">
        <v>49</v>
      </c>
      <c r="G84" s="86"/>
      <c r="H84" s="86"/>
      <c r="I84" s="86"/>
    </row>
    <row r="85" spans="1:9" ht="28">
      <c r="A85" s="97">
        <v>42</v>
      </c>
      <c r="B85" s="83" t="s">
        <v>5439</v>
      </c>
      <c r="C85" s="84" t="s">
        <v>5440</v>
      </c>
      <c r="D85" s="86" t="s">
        <v>111</v>
      </c>
      <c r="E85" s="78" t="s">
        <v>4626</v>
      </c>
      <c r="F85" s="86" t="s">
        <v>49</v>
      </c>
      <c r="G85" s="86"/>
      <c r="H85" s="86"/>
      <c r="I85" s="86"/>
    </row>
    <row r="86" spans="1:9" ht="28">
      <c r="A86" s="97">
        <v>43</v>
      </c>
      <c r="B86" s="83" t="s">
        <v>5441</v>
      </c>
      <c r="C86" s="84" t="s">
        <v>5442</v>
      </c>
      <c r="D86" s="86" t="s">
        <v>111</v>
      </c>
      <c r="E86" s="78" t="s">
        <v>4626</v>
      </c>
      <c r="F86" s="86" t="s">
        <v>49</v>
      </c>
      <c r="G86" s="86"/>
      <c r="H86" s="86"/>
      <c r="I86" s="86"/>
    </row>
    <row r="87" spans="1:9" ht="28">
      <c r="A87" s="97">
        <v>44</v>
      </c>
      <c r="B87" s="83" t="s">
        <v>5443</v>
      </c>
      <c r="C87" s="84" t="s">
        <v>5444</v>
      </c>
      <c r="D87" s="86" t="s">
        <v>111</v>
      </c>
      <c r="E87" s="78" t="s">
        <v>4626</v>
      </c>
      <c r="F87" s="86" t="s">
        <v>49</v>
      </c>
      <c r="G87" s="86"/>
      <c r="H87" s="86"/>
      <c r="I87" s="86"/>
    </row>
    <row r="88" spans="1:9" ht="28">
      <c r="A88" s="97">
        <v>45</v>
      </c>
      <c r="B88" s="83" t="s">
        <v>5445</v>
      </c>
      <c r="C88" s="84" t="s">
        <v>5446</v>
      </c>
      <c r="D88" s="86" t="s">
        <v>111</v>
      </c>
      <c r="E88" s="78" t="s">
        <v>4626</v>
      </c>
      <c r="F88" s="86" t="s">
        <v>49</v>
      </c>
      <c r="G88" s="86"/>
      <c r="H88" s="86"/>
      <c r="I88" s="86"/>
    </row>
    <row r="89" spans="1:9" ht="28">
      <c r="A89" s="97">
        <v>49</v>
      </c>
      <c r="B89" s="83" t="s">
        <v>5453</v>
      </c>
      <c r="C89" s="84" t="s">
        <v>5454</v>
      </c>
      <c r="D89" s="86" t="s">
        <v>111</v>
      </c>
      <c r="E89" s="78" t="s">
        <v>4626</v>
      </c>
      <c r="F89" s="86" t="s">
        <v>49</v>
      </c>
      <c r="G89" s="86"/>
      <c r="H89" s="86"/>
      <c r="I89" s="86"/>
    </row>
    <row r="90" spans="1:9" ht="42">
      <c r="A90" s="97">
        <v>52</v>
      </c>
      <c r="B90" s="83" t="s">
        <v>5459</v>
      </c>
      <c r="C90" s="84" t="s">
        <v>5460</v>
      </c>
      <c r="D90" s="86" t="s">
        <v>111</v>
      </c>
      <c r="E90" s="86"/>
      <c r="F90" s="86" t="s">
        <v>49</v>
      </c>
      <c r="G90" s="86"/>
      <c r="H90" s="86"/>
      <c r="I90" s="86"/>
    </row>
    <row r="91" spans="1:9" ht="42">
      <c r="A91" s="97">
        <v>53</v>
      </c>
      <c r="B91" s="83" t="s">
        <v>5461</v>
      </c>
      <c r="C91" s="84" t="s">
        <v>5462</v>
      </c>
      <c r="D91" s="86" t="s">
        <v>111</v>
      </c>
      <c r="E91" s="86"/>
      <c r="F91" s="86" t="s">
        <v>49</v>
      </c>
      <c r="G91" s="86"/>
      <c r="H91" s="86"/>
      <c r="I91" s="86"/>
    </row>
    <row r="92" spans="1:9" ht="28">
      <c r="A92" s="97">
        <v>54</v>
      </c>
      <c r="B92" s="83" t="s">
        <v>5463</v>
      </c>
      <c r="C92" s="84" t="s">
        <v>5464</v>
      </c>
      <c r="D92" s="86" t="s">
        <v>111</v>
      </c>
      <c r="E92" s="78" t="s">
        <v>4626</v>
      </c>
      <c r="F92" s="86" t="s">
        <v>49</v>
      </c>
      <c r="G92" s="86"/>
      <c r="H92" s="86"/>
      <c r="I92" s="86"/>
    </row>
    <row r="93" spans="1:9" ht="56">
      <c r="A93" s="97">
        <v>55</v>
      </c>
      <c r="B93" s="83" t="s">
        <v>5465</v>
      </c>
      <c r="C93" s="84" t="s">
        <v>5466</v>
      </c>
      <c r="D93" s="86" t="s">
        <v>111</v>
      </c>
      <c r="E93" s="86"/>
      <c r="F93" s="86" t="s">
        <v>49</v>
      </c>
      <c r="G93" s="86"/>
      <c r="H93" s="86"/>
      <c r="I93" s="86"/>
    </row>
    <row r="94" spans="1:9" ht="28">
      <c r="A94" s="97">
        <v>56</v>
      </c>
      <c r="B94" s="83" t="s">
        <v>5467</v>
      </c>
      <c r="C94" s="84" t="s">
        <v>5468</v>
      </c>
      <c r="D94" s="86" t="s">
        <v>111</v>
      </c>
      <c r="E94" s="86"/>
      <c r="F94" s="86" t="s">
        <v>49</v>
      </c>
      <c r="G94" s="86"/>
      <c r="H94" s="86"/>
      <c r="I94" s="86"/>
    </row>
    <row r="95" spans="1:9" ht="56">
      <c r="A95" s="97">
        <v>58</v>
      </c>
      <c r="B95" s="83" t="s">
        <v>5471</v>
      </c>
      <c r="C95" s="84" t="s">
        <v>5472</v>
      </c>
      <c r="D95" s="86" t="s">
        <v>111</v>
      </c>
      <c r="E95" s="86"/>
      <c r="F95" s="86" t="s">
        <v>49</v>
      </c>
      <c r="G95" s="86"/>
      <c r="H95" s="86"/>
      <c r="I95" s="86"/>
    </row>
    <row r="96" spans="1:9" ht="42">
      <c r="A96" s="97">
        <v>59</v>
      </c>
      <c r="B96" s="83" t="s">
        <v>5473</v>
      </c>
      <c r="C96" s="84" t="s">
        <v>5474</v>
      </c>
      <c r="D96" s="86" t="s">
        <v>111</v>
      </c>
      <c r="E96" s="86"/>
      <c r="F96" s="86" t="s">
        <v>49</v>
      </c>
      <c r="G96" s="86"/>
      <c r="H96" s="86"/>
      <c r="I96" s="86"/>
    </row>
    <row r="97" spans="1:9" ht="28">
      <c r="A97" s="97">
        <v>61</v>
      </c>
      <c r="B97" s="83" t="s">
        <v>5477</v>
      </c>
      <c r="C97" s="84" t="s">
        <v>5478</v>
      </c>
      <c r="D97" s="86" t="s">
        <v>111</v>
      </c>
      <c r="E97" s="86"/>
      <c r="F97" s="86" t="s">
        <v>49</v>
      </c>
      <c r="G97" s="86"/>
      <c r="H97" s="86"/>
      <c r="I97" s="86"/>
    </row>
    <row r="98" spans="1:9" ht="28">
      <c r="A98" s="97">
        <v>66</v>
      </c>
      <c r="B98" s="83" t="s">
        <v>5488</v>
      </c>
      <c r="C98" s="84" t="s">
        <v>5489</v>
      </c>
      <c r="D98" s="86" t="s">
        <v>111</v>
      </c>
      <c r="E98" s="78" t="s">
        <v>4626</v>
      </c>
      <c r="F98" s="86" t="s">
        <v>49</v>
      </c>
      <c r="G98" s="86"/>
      <c r="H98" s="86"/>
      <c r="I98" s="86"/>
    </row>
    <row r="99" spans="1:9" ht="42">
      <c r="A99" s="97">
        <v>67</v>
      </c>
      <c r="B99" s="83" t="s">
        <v>5490</v>
      </c>
      <c r="C99" s="84" t="s">
        <v>5491</v>
      </c>
      <c r="D99" s="86" t="s">
        <v>111</v>
      </c>
      <c r="E99" s="86"/>
      <c r="F99" s="86" t="s">
        <v>49</v>
      </c>
      <c r="G99" s="86"/>
      <c r="H99" s="86"/>
      <c r="I99" s="86"/>
    </row>
    <row r="100" spans="1:9" ht="28">
      <c r="A100" s="97">
        <v>70</v>
      </c>
      <c r="B100" s="83" t="s">
        <v>5496</v>
      </c>
      <c r="C100" s="84" t="s">
        <v>5497</v>
      </c>
      <c r="D100" s="86" t="s">
        <v>111</v>
      </c>
      <c r="E100" s="78" t="s">
        <v>4626</v>
      </c>
      <c r="F100" s="86" t="s">
        <v>49</v>
      </c>
      <c r="G100" s="86"/>
      <c r="H100" s="86"/>
      <c r="I100" s="86"/>
    </row>
    <row r="101" spans="1:9" ht="28">
      <c r="A101" s="97">
        <v>75</v>
      </c>
      <c r="B101" s="83" t="s">
        <v>5506</v>
      </c>
      <c r="C101" s="84" t="s">
        <v>5507</v>
      </c>
      <c r="D101" s="86" t="s">
        <v>111</v>
      </c>
      <c r="E101" s="78" t="s">
        <v>4626</v>
      </c>
      <c r="F101" s="86" t="s">
        <v>49</v>
      </c>
      <c r="G101" s="86"/>
      <c r="H101" s="86"/>
      <c r="I101" s="86"/>
    </row>
    <row r="102" spans="1:9" ht="28">
      <c r="A102" s="97">
        <v>76</v>
      </c>
      <c r="B102" s="83" t="s">
        <v>5508</v>
      </c>
      <c r="C102" s="84" t="s">
        <v>5509</v>
      </c>
      <c r="D102" s="86" t="s">
        <v>111</v>
      </c>
      <c r="E102" s="78" t="s">
        <v>4626</v>
      </c>
      <c r="F102" s="86" t="s">
        <v>49</v>
      </c>
      <c r="G102" s="86"/>
      <c r="H102" s="86"/>
      <c r="I102" s="86"/>
    </row>
    <row r="103" spans="1:9" ht="42">
      <c r="A103" s="97">
        <v>78</v>
      </c>
      <c r="B103" s="83" t="s">
        <v>5512</v>
      </c>
      <c r="C103" s="84" t="s">
        <v>5513</v>
      </c>
      <c r="D103" s="86" t="s">
        <v>111</v>
      </c>
      <c r="E103" s="86"/>
      <c r="F103" s="86" t="s">
        <v>49</v>
      </c>
      <c r="G103" s="86"/>
      <c r="H103" s="86"/>
      <c r="I103" s="86"/>
    </row>
    <row r="104" spans="1:9" ht="28">
      <c r="A104" s="97">
        <v>80</v>
      </c>
      <c r="B104" s="83" t="s">
        <v>5515</v>
      </c>
      <c r="C104" s="84" t="s">
        <v>5516</v>
      </c>
      <c r="D104" s="86" t="s">
        <v>111</v>
      </c>
      <c r="E104" s="78" t="s">
        <v>4626</v>
      </c>
      <c r="F104" s="86" t="s">
        <v>49</v>
      </c>
      <c r="G104" s="86"/>
      <c r="H104" s="86"/>
      <c r="I104" s="86"/>
    </row>
    <row r="105" spans="1:9" ht="42">
      <c r="A105" s="97">
        <v>81</v>
      </c>
      <c r="B105" s="83" t="s">
        <v>5517</v>
      </c>
      <c r="C105" s="84" t="s">
        <v>5518</v>
      </c>
      <c r="D105" s="86" t="s">
        <v>111</v>
      </c>
      <c r="E105" s="78" t="s">
        <v>4626</v>
      </c>
      <c r="F105" s="86" t="s">
        <v>49</v>
      </c>
      <c r="G105" s="86"/>
      <c r="H105" s="86"/>
      <c r="I105" s="86"/>
    </row>
    <row r="106" spans="1:9" ht="28">
      <c r="A106" s="97">
        <v>83</v>
      </c>
      <c r="B106" s="83" t="s">
        <v>262</v>
      </c>
      <c r="C106" s="84" t="s">
        <v>5521</v>
      </c>
      <c r="D106" s="86" t="s">
        <v>111</v>
      </c>
      <c r="E106" s="78" t="s">
        <v>4626</v>
      </c>
      <c r="F106" s="86" t="s">
        <v>49</v>
      </c>
      <c r="G106" s="86"/>
      <c r="H106" s="86"/>
      <c r="I106" s="86"/>
    </row>
    <row r="107" spans="1:9" ht="28">
      <c r="A107" s="97">
        <v>84</v>
      </c>
      <c r="B107" s="83" t="s">
        <v>5522</v>
      </c>
      <c r="C107" s="84" t="s">
        <v>5523</v>
      </c>
      <c r="D107" s="86" t="s">
        <v>111</v>
      </c>
      <c r="E107" s="78" t="s">
        <v>4626</v>
      </c>
      <c r="F107" s="86" t="s">
        <v>49</v>
      </c>
      <c r="G107" s="86"/>
      <c r="H107" s="86"/>
      <c r="I107" s="86"/>
    </row>
    <row r="108" spans="1:9" ht="28">
      <c r="A108" s="97">
        <v>87</v>
      </c>
      <c r="B108" s="83" t="s">
        <v>5527</v>
      </c>
      <c r="C108" s="84" t="s">
        <v>5528</v>
      </c>
      <c r="D108" s="86" t="s">
        <v>111</v>
      </c>
      <c r="E108" s="78" t="s">
        <v>4626</v>
      </c>
      <c r="F108" s="86" t="s">
        <v>49</v>
      </c>
      <c r="G108" s="86"/>
      <c r="H108" s="86"/>
      <c r="I108" s="86"/>
    </row>
    <row r="109" spans="1:9" ht="28">
      <c r="A109" s="97">
        <v>88</v>
      </c>
      <c r="B109" s="83" t="s">
        <v>5529</v>
      </c>
      <c r="C109" s="84" t="s">
        <v>5530</v>
      </c>
      <c r="D109" s="86" t="s">
        <v>111</v>
      </c>
      <c r="E109" s="78" t="s">
        <v>4626</v>
      </c>
      <c r="F109" s="86" t="s">
        <v>49</v>
      </c>
      <c r="G109" s="86"/>
      <c r="H109" s="86"/>
      <c r="I109" s="86"/>
    </row>
    <row r="110" spans="1:9" ht="28">
      <c r="A110" s="97">
        <v>89</v>
      </c>
      <c r="B110" s="83" t="s">
        <v>152</v>
      </c>
      <c r="C110" s="84" t="s">
        <v>5531</v>
      </c>
      <c r="D110" s="86" t="s">
        <v>111</v>
      </c>
      <c r="E110" s="78" t="s">
        <v>4626</v>
      </c>
      <c r="F110" s="86" t="s">
        <v>49</v>
      </c>
      <c r="G110" s="86"/>
      <c r="H110" s="86"/>
      <c r="I110" s="86"/>
    </row>
    <row r="111" spans="1:9" ht="28">
      <c r="A111" s="97">
        <v>92</v>
      </c>
      <c r="B111" s="83" t="s">
        <v>5409</v>
      </c>
      <c r="C111" s="84" t="s">
        <v>5536</v>
      </c>
      <c r="D111" s="86" t="s">
        <v>111</v>
      </c>
      <c r="E111" s="78" t="s">
        <v>4626</v>
      </c>
      <c r="F111" s="86" t="s">
        <v>49</v>
      </c>
      <c r="G111" s="86"/>
      <c r="H111" s="86"/>
      <c r="I111" s="86"/>
    </row>
    <row r="112" spans="1:9" ht="28">
      <c r="A112" s="97">
        <v>93</v>
      </c>
      <c r="B112" s="83" t="s">
        <v>5537</v>
      </c>
      <c r="C112" s="84" t="s">
        <v>5538</v>
      </c>
      <c r="D112" s="86" t="s">
        <v>111</v>
      </c>
      <c r="E112" s="78" t="s">
        <v>4626</v>
      </c>
      <c r="F112" s="86" t="s">
        <v>49</v>
      </c>
      <c r="G112" s="86"/>
      <c r="H112" s="86"/>
      <c r="I112" s="86"/>
    </row>
    <row r="113" spans="1:9" ht="28">
      <c r="A113" s="97">
        <v>95</v>
      </c>
      <c r="B113" s="83" t="s">
        <v>5539</v>
      </c>
      <c r="C113" s="84" t="s">
        <v>5540</v>
      </c>
      <c r="D113" s="86" t="s">
        <v>111</v>
      </c>
      <c r="E113" s="78" t="s">
        <v>4626</v>
      </c>
      <c r="F113" s="86" t="s">
        <v>49</v>
      </c>
      <c r="G113" s="86"/>
      <c r="H113" s="86"/>
      <c r="I113" s="86"/>
    </row>
    <row r="114" spans="1:9" ht="28">
      <c r="A114" s="97">
        <v>96</v>
      </c>
      <c r="B114" s="83" t="s">
        <v>5541</v>
      </c>
      <c r="C114" s="84" t="s">
        <v>5542</v>
      </c>
      <c r="D114" s="86" t="s">
        <v>111</v>
      </c>
      <c r="E114" s="78" t="s">
        <v>4626</v>
      </c>
      <c r="F114" s="86" t="s">
        <v>49</v>
      </c>
      <c r="G114" s="86"/>
      <c r="H114" s="86"/>
      <c r="I114" s="86"/>
    </row>
    <row r="115" spans="1:9" ht="28">
      <c r="A115" s="97">
        <v>97</v>
      </c>
      <c r="B115" s="83" t="s">
        <v>5543</v>
      </c>
      <c r="C115" s="84" t="s">
        <v>5544</v>
      </c>
      <c r="D115" s="86" t="s">
        <v>111</v>
      </c>
      <c r="E115" s="78" t="s">
        <v>4626</v>
      </c>
      <c r="F115" s="86" t="s">
        <v>49</v>
      </c>
      <c r="G115" s="86"/>
      <c r="H115" s="86"/>
      <c r="I115" s="86"/>
    </row>
    <row r="116" spans="1:9" ht="28">
      <c r="A116" s="97">
        <v>98</v>
      </c>
      <c r="B116" s="83" t="s">
        <v>5545</v>
      </c>
      <c r="C116" s="84" t="s">
        <v>5546</v>
      </c>
      <c r="D116" s="86" t="s">
        <v>111</v>
      </c>
      <c r="E116" s="78" t="s">
        <v>4626</v>
      </c>
      <c r="F116" s="86" t="s">
        <v>49</v>
      </c>
      <c r="G116" s="86"/>
      <c r="H116" s="86"/>
      <c r="I116" s="86"/>
    </row>
    <row r="117" spans="1:9" ht="28">
      <c r="A117" s="97">
        <v>99</v>
      </c>
      <c r="B117" s="83" t="s">
        <v>5547</v>
      </c>
      <c r="C117" s="84" t="s">
        <v>5548</v>
      </c>
      <c r="D117" s="86" t="s">
        <v>111</v>
      </c>
      <c r="E117" s="78" t="s">
        <v>4626</v>
      </c>
      <c r="F117" s="86" t="s">
        <v>49</v>
      </c>
      <c r="G117" s="86"/>
      <c r="H117" s="86"/>
      <c r="I117" s="86"/>
    </row>
    <row r="118" spans="1:9" ht="56">
      <c r="A118" s="97">
        <v>100</v>
      </c>
      <c r="B118" s="83" t="s">
        <v>5549</v>
      </c>
      <c r="C118" s="84" t="s">
        <v>5550</v>
      </c>
      <c r="D118" s="86" t="s">
        <v>111</v>
      </c>
      <c r="E118" s="86"/>
      <c r="F118" s="86" t="s">
        <v>49</v>
      </c>
      <c r="G118" s="86"/>
      <c r="H118" s="86"/>
      <c r="I118" s="86"/>
    </row>
    <row r="119" spans="1:9" ht="28">
      <c r="A119" s="97">
        <v>101</v>
      </c>
      <c r="B119" s="83" t="s">
        <v>5551</v>
      </c>
      <c r="C119" s="84" t="s">
        <v>5552</v>
      </c>
      <c r="D119" s="86" t="s">
        <v>111</v>
      </c>
      <c r="E119" s="78" t="s">
        <v>4626</v>
      </c>
      <c r="F119" s="86" t="s">
        <v>49</v>
      </c>
      <c r="G119" s="86"/>
      <c r="H119" s="86"/>
      <c r="I119" s="86"/>
    </row>
    <row r="120" spans="1:9" ht="42">
      <c r="A120" s="97">
        <v>102</v>
      </c>
      <c r="B120" s="83" t="s">
        <v>5553</v>
      </c>
      <c r="C120" s="84" t="s">
        <v>5554</v>
      </c>
      <c r="D120" s="86" t="s">
        <v>111</v>
      </c>
      <c r="E120" s="78" t="s">
        <v>4626</v>
      </c>
      <c r="F120" s="86" t="s">
        <v>49</v>
      </c>
      <c r="G120" s="86"/>
      <c r="H120" s="86"/>
      <c r="I120" s="86"/>
    </row>
    <row r="121" spans="1:9" ht="28">
      <c r="A121" s="97">
        <v>103</v>
      </c>
      <c r="B121" s="83" t="s">
        <v>5555</v>
      </c>
      <c r="C121" s="84" t="s">
        <v>5556</v>
      </c>
      <c r="D121" s="86" t="s">
        <v>111</v>
      </c>
      <c r="E121" s="78" t="s">
        <v>4626</v>
      </c>
      <c r="F121" s="86" t="s">
        <v>49</v>
      </c>
      <c r="G121" s="86"/>
      <c r="H121" s="86"/>
      <c r="I121" s="86"/>
    </row>
    <row r="122" spans="1:9" ht="28">
      <c r="A122" s="97">
        <v>104</v>
      </c>
      <c r="B122" s="83" t="s">
        <v>5557</v>
      </c>
      <c r="C122" s="84" t="s">
        <v>5558</v>
      </c>
      <c r="D122" s="86" t="s">
        <v>111</v>
      </c>
      <c r="E122" s="78" t="s">
        <v>4626</v>
      </c>
      <c r="F122" s="86" t="s">
        <v>49</v>
      </c>
      <c r="G122" s="86"/>
      <c r="H122" s="86"/>
      <c r="I122" s="86"/>
    </row>
    <row r="123" spans="1:9" ht="28">
      <c r="A123" s="97">
        <v>105</v>
      </c>
      <c r="B123" s="83" t="s">
        <v>5559</v>
      </c>
      <c r="C123" s="84" t="s">
        <v>5560</v>
      </c>
      <c r="D123" s="86" t="s">
        <v>111</v>
      </c>
      <c r="E123" s="86"/>
      <c r="F123" s="86" t="s">
        <v>49</v>
      </c>
      <c r="G123" s="86"/>
      <c r="H123" s="86"/>
      <c r="I123" s="86"/>
    </row>
    <row r="124" spans="1:9" ht="28">
      <c r="A124" s="97">
        <v>106</v>
      </c>
      <c r="B124" s="83" t="s">
        <v>5561</v>
      </c>
      <c r="C124" s="84" t="s">
        <v>5562</v>
      </c>
      <c r="D124" s="86" t="s">
        <v>111</v>
      </c>
      <c r="E124" s="86"/>
      <c r="F124" s="86" t="s">
        <v>49</v>
      </c>
      <c r="G124" s="86"/>
      <c r="H124" s="86"/>
      <c r="I124" s="86"/>
    </row>
    <row r="125" spans="1:9" ht="28">
      <c r="A125" s="97">
        <v>107</v>
      </c>
      <c r="B125" s="83" t="s">
        <v>5563</v>
      </c>
      <c r="C125" s="84" t="s">
        <v>5564</v>
      </c>
      <c r="D125" s="86" t="s">
        <v>111</v>
      </c>
      <c r="E125" s="78" t="s">
        <v>4626</v>
      </c>
      <c r="F125" s="86" t="s">
        <v>49</v>
      </c>
      <c r="G125" s="86"/>
      <c r="H125" s="86"/>
      <c r="I125" s="86"/>
    </row>
    <row r="126" spans="1:9" ht="28">
      <c r="A126" s="97">
        <v>114</v>
      </c>
      <c r="B126" s="83" t="s">
        <v>5574</v>
      </c>
      <c r="C126" s="84" t="s">
        <v>5575</v>
      </c>
      <c r="D126" s="86" t="s">
        <v>111</v>
      </c>
      <c r="E126" s="78" t="s">
        <v>4626</v>
      </c>
      <c r="F126" s="86" t="s">
        <v>49</v>
      </c>
      <c r="G126" s="86"/>
      <c r="H126" s="86"/>
      <c r="I126" s="86"/>
    </row>
    <row r="127" spans="1:9" ht="28">
      <c r="A127" s="97">
        <v>116</v>
      </c>
      <c r="B127" s="83" t="s">
        <v>5576</v>
      </c>
      <c r="C127" s="84" t="s">
        <v>5577</v>
      </c>
      <c r="D127" s="86" t="s">
        <v>111</v>
      </c>
      <c r="E127" s="78" t="s">
        <v>4626</v>
      </c>
      <c r="F127" s="86" t="s">
        <v>49</v>
      </c>
      <c r="G127" s="86"/>
      <c r="H127" s="86"/>
      <c r="I127" s="86"/>
    </row>
    <row r="128" spans="1:9" ht="28">
      <c r="A128" s="97">
        <v>117</v>
      </c>
      <c r="B128" s="83" t="s">
        <v>5578</v>
      </c>
      <c r="C128" s="84" t="s">
        <v>5579</v>
      </c>
      <c r="D128" s="86" t="s">
        <v>111</v>
      </c>
      <c r="E128" s="86"/>
      <c r="F128" s="86" t="s">
        <v>49</v>
      </c>
      <c r="G128" s="86"/>
      <c r="H128" s="86"/>
      <c r="I128" s="86"/>
    </row>
    <row r="129" spans="1:9" ht="28">
      <c r="A129" s="97">
        <v>118</v>
      </c>
      <c r="B129" s="83" t="s">
        <v>5580</v>
      </c>
      <c r="C129" s="84" t="s">
        <v>5581</v>
      </c>
      <c r="D129" s="86" t="s">
        <v>111</v>
      </c>
      <c r="E129" s="78" t="s">
        <v>4626</v>
      </c>
      <c r="F129" s="86" t="s">
        <v>49</v>
      </c>
      <c r="G129" s="86"/>
      <c r="H129" s="86"/>
      <c r="I129" s="86"/>
    </row>
    <row r="130" spans="1:9" ht="28">
      <c r="A130" s="97">
        <v>119</v>
      </c>
      <c r="B130" s="83" t="s">
        <v>5582</v>
      </c>
      <c r="C130" s="84" t="s">
        <v>5583</v>
      </c>
      <c r="D130" s="86" t="s">
        <v>111</v>
      </c>
      <c r="E130" s="78" t="s">
        <v>4626</v>
      </c>
      <c r="F130" s="86" t="s">
        <v>49</v>
      </c>
      <c r="G130" s="86"/>
      <c r="H130" s="86"/>
      <c r="I130" s="86"/>
    </row>
    <row r="131" spans="1:9" ht="28">
      <c r="A131" s="97">
        <v>121</v>
      </c>
      <c r="B131" s="83" t="s">
        <v>5586</v>
      </c>
      <c r="C131" s="84" t="s">
        <v>5587</v>
      </c>
      <c r="D131" s="86" t="s">
        <v>111</v>
      </c>
      <c r="E131" s="78" t="s">
        <v>4626</v>
      </c>
      <c r="F131" s="86" t="s">
        <v>49</v>
      </c>
      <c r="G131" s="86"/>
      <c r="H131" s="86"/>
      <c r="I131" s="86"/>
    </row>
    <row r="132" spans="1:9" ht="28">
      <c r="A132" s="97">
        <v>122</v>
      </c>
      <c r="B132" s="83" t="s">
        <v>453</v>
      </c>
      <c r="C132" s="84" t="s">
        <v>5588</v>
      </c>
      <c r="D132" s="86" t="s">
        <v>111</v>
      </c>
      <c r="E132" s="78" t="s">
        <v>4626</v>
      </c>
      <c r="F132" s="86" t="s">
        <v>49</v>
      </c>
      <c r="G132" s="86"/>
      <c r="H132" s="86"/>
      <c r="I132" s="86"/>
    </row>
    <row r="133" spans="1:9" ht="42">
      <c r="A133" s="97">
        <v>127</v>
      </c>
      <c r="B133" s="83" t="s">
        <v>5597</v>
      </c>
      <c r="C133" s="84" t="s">
        <v>5598</v>
      </c>
      <c r="D133" s="86" t="s">
        <v>111</v>
      </c>
      <c r="E133" s="86"/>
      <c r="F133" s="86" t="s">
        <v>49</v>
      </c>
      <c r="G133" s="86"/>
      <c r="H133" s="86"/>
      <c r="I133" s="86"/>
    </row>
    <row r="134" spans="1:9" ht="28">
      <c r="A134" s="97">
        <v>129</v>
      </c>
      <c r="B134" s="83" t="s">
        <v>5601</v>
      </c>
      <c r="C134" s="84" t="s">
        <v>5602</v>
      </c>
      <c r="D134" s="86" t="s">
        <v>111</v>
      </c>
      <c r="E134" s="78" t="s">
        <v>4626</v>
      </c>
      <c r="F134" s="86" t="s">
        <v>49</v>
      </c>
      <c r="G134" s="86"/>
      <c r="H134" s="86"/>
      <c r="I134" s="86"/>
    </row>
    <row r="135" spans="1:9" ht="28">
      <c r="A135" s="97">
        <v>130</v>
      </c>
      <c r="B135" s="83" t="s">
        <v>5603</v>
      </c>
      <c r="C135" s="84" t="s">
        <v>5604</v>
      </c>
      <c r="D135" s="86" t="s">
        <v>111</v>
      </c>
      <c r="E135" s="86"/>
      <c r="F135" s="86" t="s">
        <v>49</v>
      </c>
      <c r="G135" s="86"/>
      <c r="H135" s="86"/>
      <c r="I135" s="86"/>
    </row>
    <row r="136" spans="1:9" ht="28">
      <c r="A136" s="97">
        <v>131</v>
      </c>
      <c r="B136" s="83" t="s">
        <v>5605</v>
      </c>
      <c r="C136" s="84" t="s">
        <v>5606</v>
      </c>
      <c r="D136" s="86" t="s">
        <v>111</v>
      </c>
      <c r="E136" s="78" t="s">
        <v>4626</v>
      </c>
      <c r="F136" s="86" t="s">
        <v>49</v>
      </c>
      <c r="G136" s="86"/>
      <c r="H136" s="86"/>
      <c r="I136" s="86"/>
    </row>
    <row r="137" spans="1:9" ht="28">
      <c r="A137" s="97">
        <v>134</v>
      </c>
      <c r="B137" s="83" t="s">
        <v>5611</v>
      </c>
      <c r="C137" s="84" t="s">
        <v>5612</v>
      </c>
      <c r="D137" s="86" t="s">
        <v>111</v>
      </c>
      <c r="E137" s="78" t="s">
        <v>4626</v>
      </c>
      <c r="F137" s="86" t="s">
        <v>49</v>
      </c>
      <c r="G137" s="86"/>
      <c r="H137" s="86"/>
      <c r="I137" s="86"/>
    </row>
    <row r="138" spans="1:9" ht="70">
      <c r="A138" s="97">
        <v>135</v>
      </c>
      <c r="B138" s="83" t="s">
        <v>5613</v>
      </c>
      <c r="C138" s="84" t="s">
        <v>5614</v>
      </c>
      <c r="D138" s="86" t="s">
        <v>111</v>
      </c>
      <c r="E138" s="78" t="s">
        <v>4626</v>
      </c>
      <c r="F138" s="86" t="s">
        <v>49</v>
      </c>
      <c r="G138" s="86"/>
      <c r="H138" s="86"/>
      <c r="I138" s="86"/>
    </row>
    <row r="139" spans="1:9" ht="28">
      <c r="A139" s="97">
        <v>140</v>
      </c>
      <c r="B139" s="83" t="s">
        <v>5621</v>
      </c>
      <c r="C139" s="84" t="s">
        <v>5622</v>
      </c>
      <c r="D139" s="86" t="s">
        <v>111</v>
      </c>
      <c r="E139" s="78" t="s">
        <v>4626</v>
      </c>
      <c r="F139" s="86" t="s">
        <v>49</v>
      </c>
      <c r="G139" s="86"/>
      <c r="H139" s="86"/>
      <c r="I139" s="86"/>
    </row>
    <row r="140" spans="1:9" ht="28">
      <c r="A140" s="97">
        <v>143</v>
      </c>
      <c r="B140" s="83" t="s">
        <v>5549</v>
      </c>
      <c r="C140" s="84" t="s">
        <v>5627</v>
      </c>
      <c r="D140" s="86" t="s">
        <v>111</v>
      </c>
      <c r="E140" s="78" t="s">
        <v>4626</v>
      </c>
      <c r="F140" s="86" t="s">
        <v>49</v>
      </c>
      <c r="G140" s="86"/>
      <c r="H140" s="86"/>
      <c r="I140" s="86"/>
    </row>
    <row r="141" spans="1:9" ht="28">
      <c r="A141" s="97">
        <v>144</v>
      </c>
      <c r="B141" s="83" t="s">
        <v>5628</v>
      </c>
      <c r="C141" s="84" t="s">
        <v>5629</v>
      </c>
      <c r="D141" s="86" t="s">
        <v>111</v>
      </c>
      <c r="E141" s="86"/>
      <c r="F141" s="86" t="s">
        <v>49</v>
      </c>
      <c r="G141" s="86"/>
      <c r="H141" s="86"/>
      <c r="I141" s="86"/>
    </row>
    <row r="142" spans="1:9" ht="28">
      <c r="A142" s="97">
        <v>146</v>
      </c>
      <c r="B142" s="83" t="s">
        <v>5632</v>
      </c>
      <c r="C142" s="84" t="s">
        <v>5633</v>
      </c>
      <c r="D142" s="86" t="s">
        <v>111</v>
      </c>
      <c r="E142" s="78" t="s">
        <v>4626</v>
      </c>
      <c r="F142" s="86" t="s">
        <v>49</v>
      </c>
      <c r="G142" s="86"/>
      <c r="H142" s="86"/>
      <c r="I142" s="86"/>
    </row>
    <row r="143" spans="1:9" ht="28">
      <c r="A143" s="97">
        <v>148</v>
      </c>
      <c r="B143" s="83" t="s">
        <v>5636</v>
      </c>
      <c r="C143" s="84" t="s">
        <v>5637</v>
      </c>
      <c r="D143" s="86" t="s">
        <v>111</v>
      </c>
      <c r="E143" s="78" t="s">
        <v>4626</v>
      </c>
      <c r="F143" s="86" t="s">
        <v>49</v>
      </c>
      <c r="G143" s="86"/>
      <c r="H143" s="86"/>
      <c r="I143" s="86"/>
    </row>
    <row r="144" spans="1:9" ht="28">
      <c r="A144" s="97">
        <v>149</v>
      </c>
      <c r="B144" s="83" t="s">
        <v>152</v>
      </c>
      <c r="C144" s="84" t="s">
        <v>5638</v>
      </c>
      <c r="D144" s="86" t="s">
        <v>111</v>
      </c>
      <c r="E144" s="78" t="s">
        <v>4626</v>
      </c>
      <c r="F144" s="86" t="s">
        <v>49</v>
      </c>
      <c r="G144" s="86"/>
      <c r="H144" s="86"/>
      <c r="I144" s="86"/>
    </row>
    <row r="145" spans="1:9" ht="28">
      <c r="A145" s="97">
        <v>151</v>
      </c>
      <c r="B145" s="83" t="s">
        <v>5641</v>
      </c>
      <c r="C145" s="84" t="s">
        <v>5642</v>
      </c>
      <c r="D145" s="86" t="s">
        <v>111</v>
      </c>
      <c r="E145" s="78" t="s">
        <v>4626</v>
      </c>
      <c r="F145" s="86" t="s">
        <v>49</v>
      </c>
      <c r="G145" s="86"/>
      <c r="H145" s="86"/>
      <c r="I145" s="86"/>
    </row>
    <row r="146" spans="1:9" ht="42">
      <c r="A146" s="97">
        <v>152</v>
      </c>
      <c r="B146" s="83" t="s">
        <v>5643</v>
      </c>
      <c r="C146" s="84" t="s">
        <v>5644</v>
      </c>
      <c r="D146" s="86" t="s">
        <v>111</v>
      </c>
      <c r="E146" s="86"/>
      <c r="F146" s="86" t="s">
        <v>49</v>
      </c>
      <c r="G146" s="86"/>
      <c r="H146" s="86"/>
      <c r="I146" s="86"/>
    </row>
    <row r="147" spans="1:9" ht="42">
      <c r="A147" s="97">
        <v>153</v>
      </c>
      <c r="B147" s="83" t="s">
        <v>5645</v>
      </c>
      <c r="C147" s="84" t="s">
        <v>5646</v>
      </c>
      <c r="D147" s="86" t="s">
        <v>111</v>
      </c>
      <c r="E147" s="78" t="s">
        <v>4626</v>
      </c>
      <c r="F147" s="86" t="s">
        <v>49</v>
      </c>
      <c r="G147" s="86"/>
      <c r="H147" s="86"/>
      <c r="I147" s="86"/>
    </row>
    <row r="148" spans="1:9" ht="28">
      <c r="A148" s="97">
        <v>154</v>
      </c>
      <c r="B148" s="83" t="s">
        <v>5647</v>
      </c>
      <c r="C148" s="84" t="s">
        <v>5648</v>
      </c>
      <c r="D148" s="86" t="s">
        <v>111</v>
      </c>
      <c r="E148" s="86"/>
      <c r="F148" s="86" t="s">
        <v>49</v>
      </c>
      <c r="G148" s="86"/>
      <c r="H148" s="86"/>
      <c r="I148" s="86"/>
    </row>
    <row r="149" spans="1:9" ht="28">
      <c r="A149" s="97">
        <v>158</v>
      </c>
      <c r="B149" s="83" t="s">
        <v>5655</v>
      </c>
      <c r="C149" s="84" t="s">
        <v>5656</v>
      </c>
      <c r="D149" s="86" t="s">
        <v>111</v>
      </c>
      <c r="E149" s="78" t="s">
        <v>4626</v>
      </c>
      <c r="F149" s="86" t="s">
        <v>49</v>
      </c>
      <c r="G149" s="86"/>
      <c r="H149" s="86"/>
      <c r="I149" s="86"/>
    </row>
    <row r="150" spans="1:9" ht="28">
      <c r="A150" s="97">
        <v>160</v>
      </c>
      <c r="B150" s="83" t="s">
        <v>5659</v>
      </c>
      <c r="C150" s="84" t="s">
        <v>5660</v>
      </c>
      <c r="D150" s="86" t="s">
        <v>111</v>
      </c>
      <c r="E150" s="78" t="s">
        <v>4626</v>
      </c>
      <c r="F150" s="86" t="s">
        <v>49</v>
      </c>
      <c r="G150" s="86"/>
      <c r="H150" s="86"/>
      <c r="I150" s="86"/>
    </row>
    <row r="151" spans="1:9" ht="28">
      <c r="A151" s="97">
        <v>161</v>
      </c>
      <c r="B151" s="83" t="s">
        <v>5661</v>
      </c>
      <c r="C151" s="84" t="s">
        <v>5662</v>
      </c>
      <c r="D151" s="86" t="s">
        <v>111</v>
      </c>
      <c r="E151" s="78" t="s">
        <v>4626</v>
      </c>
      <c r="F151" s="86" t="s">
        <v>49</v>
      </c>
      <c r="G151" s="86"/>
      <c r="H151" s="86"/>
      <c r="I151" s="86"/>
    </row>
    <row r="152" spans="1:9" ht="56">
      <c r="A152" s="97">
        <v>162</v>
      </c>
      <c r="B152" s="83" t="s">
        <v>5663</v>
      </c>
      <c r="C152" s="84" t="s">
        <v>5664</v>
      </c>
      <c r="D152" s="86" t="s">
        <v>111</v>
      </c>
      <c r="E152" s="78" t="s">
        <v>4626</v>
      </c>
      <c r="F152" s="86" t="s">
        <v>49</v>
      </c>
      <c r="G152" s="86"/>
      <c r="H152" s="86"/>
      <c r="I152" s="86"/>
    </row>
    <row r="153" spans="1:9" ht="42">
      <c r="A153" s="97">
        <v>163</v>
      </c>
      <c r="B153" s="83" t="s">
        <v>5665</v>
      </c>
      <c r="C153" s="84" t="s">
        <v>5666</v>
      </c>
      <c r="D153" s="86" t="s">
        <v>111</v>
      </c>
      <c r="E153" s="78" t="s">
        <v>4626</v>
      </c>
      <c r="F153" s="86" t="s">
        <v>49</v>
      </c>
      <c r="G153" s="86"/>
      <c r="H153" s="86"/>
      <c r="I153" s="86"/>
    </row>
    <row r="154" spans="1:9" ht="42">
      <c r="A154" s="97">
        <v>164</v>
      </c>
      <c r="B154" s="83" t="s">
        <v>5667</v>
      </c>
      <c r="C154" s="84" t="s">
        <v>5668</v>
      </c>
      <c r="D154" s="86" t="s">
        <v>111</v>
      </c>
      <c r="E154" s="78" t="s">
        <v>4626</v>
      </c>
      <c r="F154" s="86" t="s">
        <v>49</v>
      </c>
      <c r="G154" s="86"/>
      <c r="H154" s="86"/>
      <c r="I154" s="86"/>
    </row>
    <row r="155" spans="1:9" ht="28">
      <c r="A155" s="97">
        <v>166</v>
      </c>
      <c r="B155" s="83" t="s">
        <v>5671</v>
      </c>
      <c r="C155" s="84" t="s">
        <v>5672</v>
      </c>
      <c r="D155" s="86" t="s">
        <v>111</v>
      </c>
      <c r="E155" s="78" t="s">
        <v>4626</v>
      </c>
      <c r="F155" s="86" t="s">
        <v>49</v>
      </c>
      <c r="G155" s="86"/>
      <c r="H155" s="86"/>
      <c r="I155" s="86"/>
    </row>
    <row r="156" spans="1:9" ht="28">
      <c r="A156" s="97">
        <v>168</v>
      </c>
      <c r="B156" s="83" t="s">
        <v>5522</v>
      </c>
      <c r="C156" s="84" t="s">
        <v>5675</v>
      </c>
      <c r="D156" s="86" t="s">
        <v>111</v>
      </c>
      <c r="E156" s="78" t="s">
        <v>4626</v>
      </c>
      <c r="F156" s="86" t="s">
        <v>49</v>
      </c>
      <c r="G156" s="86"/>
      <c r="H156" s="86"/>
      <c r="I156" s="86"/>
    </row>
    <row r="157" spans="1:9" ht="28">
      <c r="A157" s="97">
        <v>170</v>
      </c>
      <c r="B157" s="83" t="s">
        <v>5678</v>
      </c>
      <c r="C157" s="84" t="s">
        <v>5679</v>
      </c>
      <c r="D157" s="86" t="s">
        <v>111</v>
      </c>
      <c r="E157" s="78" t="s">
        <v>4626</v>
      </c>
      <c r="F157" s="86" t="s">
        <v>49</v>
      </c>
      <c r="G157" s="86"/>
      <c r="H157" s="86"/>
      <c r="I157" s="86"/>
    </row>
    <row r="158" spans="1:9" ht="28">
      <c r="A158" s="97">
        <v>173</v>
      </c>
      <c r="B158" s="83" t="s">
        <v>5684</v>
      </c>
      <c r="C158" s="84" t="s">
        <v>5685</v>
      </c>
      <c r="D158" s="86" t="s">
        <v>111</v>
      </c>
      <c r="E158" s="78" t="s">
        <v>4626</v>
      </c>
      <c r="F158" s="86" t="s">
        <v>49</v>
      </c>
      <c r="G158" s="86"/>
      <c r="H158" s="86"/>
      <c r="I158" s="86"/>
    </row>
    <row r="159" spans="1:9" ht="28">
      <c r="A159" s="97">
        <v>174</v>
      </c>
      <c r="B159" s="83" t="s">
        <v>5686</v>
      </c>
      <c r="C159" s="84" t="s">
        <v>5687</v>
      </c>
      <c r="D159" s="86" t="s">
        <v>111</v>
      </c>
      <c r="E159" s="78" t="s">
        <v>4626</v>
      </c>
      <c r="F159" s="86" t="s">
        <v>49</v>
      </c>
      <c r="G159" s="86"/>
      <c r="H159" s="86"/>
      <c r="I159" s="86"/>
    </row>
    <row r="160" spans="1:9" ht="28">
      <c r="A160" s="97">
        <v>175</v>
      </c>
      <c r="B160" s="83" t="s">
        <v>5688</v>
      </c>
      <c r="C160" s="84" t="s">
        <v>5689</v>
      </c>
      <c r="D160" s="86" t="s">
        <v>111</v>
      </c>
      <c r="E160" s="78" t="s">
        <v>4626</v>
      </c>
      <c r="F160" s="86" t="s">
        <v>49</v>
      </c>
      <c r="G160" s="86"/>
      <c r="H160" s="86"/>
      <c r="I160" s="86"/>
    </row>
    <row r="161" spans="1:9" ht="28">
      <c r="A161" s="97">
        <v>176</v>
      </c>
      <c r="B161" s="83" t="s">
        <v>5690</v>
      </c>
      <c r="C161" s="84" t="s">
        <v>5691</v>
      </c>
      <c r="D161" s="86" t="s">
        <v>111</v>
      </c>
      <c r="E161" s="78" t="s">
        <v>4626</v>
      </c>
      <c r="F161" s="86" t="s">
        <v>49</v>
      </c>
      <c r="G161" s="86"/>
      <c r="H161" s="86"/>
      <c r="I161" s="86"/>
    </row>
    <row r="162" spans="1:9" ht="28">
      <c r="A162" s="97">
        <v>178</v>
      </c>
      <c r="B162" s="83" t="s">
        <v>5694</v>
      </c>
      <c r="C162" s="84" t="s">
        <v>5695</v>
      </c>
      <c r="D162" s="86" t="s">
        <v>111</v>
      </c>
      <c r="E162" s="78" t="s">
        <v>4626</v>
      </c>
      <c r="F162" s="86" t="s">
        <v>49</v>
      </c>
      <c r="G162" s="86"/>
      <c r="H162" s="86"/>
      <c r="I162" s="86"/>
    </row>
    <row r="163" spans="1:9" ht="28">
      <c r="A163" s="97">
        <v>181</v>
      </c>
      <c r="B163" s="83" t="s">
        <v>5700</v>
      </c>
      <c r="C163" s="84" t="s">
        <v>5701</v>
      </c>
      <c r="D163" s="86" t="s">
        <v>111</v>
      </c>
      <c r="E163" s="78" t="s">
        <v>4626</v>
      </c>
      <c r="F163" s="86" t="s">
        <v>49</v>
      </c>
      <c r="G163" s="86"/>
      <c r="H163" s="86"/>
      <c r="I163" s="86"/>
    </row>
    <row r="164" spans="1:9" ht="28">
      <c r="A164" s="97">
        <v>185</v>
      </c>
      <c r="B164" s="83" t="s">
        <v>1586</v>
      </c>
      <c r="C164" s="84" t="s">
        <v>5708</v>
      </c>
      <c r="D164" s="86" t="s">
        <v>111</v>
      </c>
      <c r="E164" s="78" t="s">
        <v>4626</v>
      </c>
      <c r="F164" s="86" t="s">
        <v>49</v>
      </c>
      <c r="G164" s="86"/>
      <c r="H164" s="86"/>
      <c r="I164" s="86"/>
    </row>
    <row r="165" spans="1:9" ht="42">
      <c r="A165" s="97">
        <v>188</v>
      </c>
      <c r="B165" s="83" t="s">
        <v>5713</v>
      </c>
      <c r="C165" s="84" t="s">
        <v>5714</v>
      </c>
      <c r="D165" s="86" t="s">
        <v>111</v>
      </c>
      <c r="E165" s="78" t="s">
        <v>4626</v>
      </c>
      <c r="F165" s="86" t="s">
        <v>49</v>
      </c>
      <c r="G165" s="86"/>
      <c r="H165" s="86"/>
      <c r="I165" s="86"/>
    </row>
    <row r="166" spans="1:9" ht="28">
      <c r="A166" s="97">
        <v>189</v>
      </c>
      <c r="B166" s="83" t="s">
        <v>5715</v>
      </c>
      <c r="C166" s="84" t="s">
        <v>5716</v>
      </c>
      <c r="D166" s="86" t="s">
        <v>111</v>
      </c>
      <c r="E166" s="86"/>
      <c r="F166" s="86" t="s">
        <v>49</v>
      </c>
      <c r="G166" s="86"/>
      <c r="H166" s="86"/>
      <c r="I166" s="86"/>
    </row>
    <row r="167" spans="1:9" ht="28">
      <c r="A167" s="97">
        <v>190</v>
      </c>
      <c r="B167" s="83" t="s">
        <v>5717</v>
      </c>
      <c r="C167" s="84" t="s">
        <v>5718</v>
      </c>
      <c r="D167" s="86" t="s">
        <v>111</v>
      </c>
      <c r="E167" s="80" t="s">
        <v>4626</v>
      </c>
      <c r="F167" s="117" t="s">
        <v>49</v>
      </c>
      <c r="G167" s="86"/>
      <c r="H167" s="86"/>
      <c r="I167" s="86"/>
    </row>
    <row r="168" spans="1:9" ht="28">
      <c r="A168" s="97">
        <v>191</v>
      </c>
      <c r="B168" s="83" t="s">
        <v>5719</v>
      </c>
      <c r="C168" s="84" t="s">
        <v>5720</v>
      </c>
      <c r="D168" s="86" t="s">
        <v>111</v>
      </c>
      <c r="E168" s="78" t="s">
        <v>4626</v>
      </c>
      <c r="F168" s="86" t="s">
        <v>49</v>
      </c>
      <c r="G168" s="86"/>
      <c r="H168" s="86"/>
      <c r="I168" s="86"/>
    </row>
    <row r="169" spans="1:9" ht="28">
      <c r="A169" s="97">
        <v>192</v>
      </c>
      <c r="B169" s="83" t="s">
        <v>5721</v>
      </c>
      <c r="C169" s="84" t="s">
        <v>5722</v>
      </c>
      <c r="D169" s="86" t="s">
        <v>111</v>
      </c>
      <c r="E169" s="78" t="s">
        <v>4626</v>
      </c>
      <c r="F169" s="86" t="s">
        <v>49</v>
      </c>
      <c r="G169" s="86"/>
      <c r="H169" s="86"/>
      <c r="I169" s="86"/>
    </row>
    <row r="170" spans="1:9" ht="28">
      <c r="A170" s="97">
        <v>193</v>
      </c>
      <c r="B170" s="83" t="s">
        <v>1615</v>
      </c>
      <c r="C170" s="84" t="s">
        <v>5723</v>
      </c>
      <c r="D170" s="86" t="s">
        <v>111</v>
      </c>
      <c r="E170" s="78" t="s">
        <v>4626</v>
      </c>
      <c r="F170" s="86" t="s">
        <v>49</v>
      </c>
      <c r="G170" s="86"/>
      <c r="H170" s="86"/>
      <c r="I170" s="86"/>
    </row>
    <row r="171" spans="1:9" ht="28">
      <c r="A171" s="97">
        <v>194</v>
      </c>
      <c r="B171" s="83" t="s">
        <v>5724</v>
      </c>
      <c r="C171" s="84" t="s">
        <v>5725</v>
      </c>
      <c r="D171" s="86" t="s">
        <v>111</v>
      </c>
      <c r="E171" s="86"/>
      <c r="F171" s="86" t="s">
        <v>49</v>
      </c>
      <c r="G171" s="86"/>
      <c r="H171" s="86"/>
      <c r="I171" s="86"/>
    </row>
    <row r="172" spans="1:9" ht="42">
      <c r="A172" s="97">
        <v>196</v>
      </c>
      <c r="B172" s="83" t="s">
        <v>5728</v>
      </c>
      <c r="C172" s="84" t="s">
        <v>5729</v>
      </c>
      <c r="D172" s="86" t="s">
        <v>111</v>
      </c>
      <c r="E172" s="78" t="s">
        <v>4626</v>
      </c>
      <c r="F172" s="86" t="s">
        <v>49</v>
      </c>
      <c r="G172" s="86"/>
      <c r="H172" s="86"/>
      <c r="I172" s="86"/>
    </row>
    <row r="173" spans="1:9" ht="28">
      <c r="A173" s="97">
        <v>198</v>
      </c>
      <c r="B173" s="83" t="s">
        <v>5731</v>
      </c>
      <c r="C173" s="84" t="s">
        <v>5732</v>
      </c>
      <c r="D173" s="86" t="s">
        <v>111</v>
      </c>
      <c r="E173" s="78" t="s">
        <v>4626</v>
      </c>
      <c r="F173" s="86" t="s">
        <v>49</v>
      </c>
      <c r="G173" s="86"/>
      <c r="H173" s="86"/>
      <c r="I173" s="86"/>
    </row>
    <row r="174" spans="1:9" ht="42">
      <c r="A174" s="97">
        <v>199</v>
      </c>
      <c r="B174" s="83" t="s">
        <v>5733</v>
      </c>
      <c r="C174" s="84" t="s">
        <v>5734</v>
      </c>
      <c r="D174" s="86" t="s">
        <v>111</v>
      </c>
      <c r="E174" s="86"/>
      <c r="F174" s="86" t="s">
        <v>49</v>
      </c>
      <c r="G174" s="86"/>
      <c r="H174" s="86"/>
      <c r="I174" s="86"/>
    </row>
    <row r="175" spans="1:9" ht="28">
      <c r="A175" s="97">
        <v>200</v>
      </c>
      <c r="B175" s="83" t="s">
        <v>5735</v>
      </c>
      <c r="C175" s="84" t="s">
        <v>5736</v>
      </c>
      <c r="D175" s="86" t="s">
        <v>111</v>
      </c>
      <c r="E175" s="86"/>
      <c r="F175" s="86" t="s">
        <v>49</v>
      </c>
      <c r="G175" s="86"/>
      <c r="H175" s="86"/>
      <c r="I175" s="86"/>
    </row>
    <row r="176" spans="1:9" ht="42">
      <c r="A176" s="97">
        <v>201</v>
      </c>
      <c r="B176" s="83" t="s">
        <v>5737</v>
      </c>
      <c r="C176" s="84" t="s">
        <v>5738</v>
      </c>
      <c r="D176" s="86" t="s">
        <v>111</v>
      </c>
      <c r="E176" s="86"/>
      <c r="F176" s="86" t="s">
        <v>49</v>
      </c>
      <c r="G176" s="86"/>
      <c r="H176" s="86"/>
      <c r="I176" s="86"/>
    </row>
    <row r="177" spans="1:9" ht="42">
      <c r="A177" s="97">
        <v>203</v>
      </c>
      <c r="B177" s="83" t="s">
        <v>5741</v>
      </c>
      <c r="C177" s="84" t="s">
        <v>5742</v>
      </c>
      <c r="D177" s="86" t="s">
        <v>111</v>
      </c>
      <c r="E177" s="86"/>
      <c r="F177" s="86" t="s">
        <v>49</v>
      </c>
      <c r="G177" s="86"/>
      <c r="H177" s="86"/>
      <c r="I177" s="86"/>
    </row>
    <row r="178" spans="1:9" ht="42">
      <c r="A178" s="97">
        <v>204</v>
      </c>
      <c r="B178" s="83" t="s">
        <v>5743</v>
      </c>
      <c r="C178" s="84" t="s">
        <v>5744</v>
      </c>
      <c r="D178" s="86" t="s">
        <v>111</v>
      </c>
      <c r="E178" s="78" t="s">
        <v>4626</v>
      </c>
      <c r="F178" s="86" t="s">
        <v>49</v>
      </c>
      <c r="G178" s="86"/>
      <c r="H178" s="86"/>
      <c r="I178" s="86"/>
    </row>
    <row r="179" spans="1:9" ht="42">
      <c r="A179" s="97">
        <v>206</v>
      </c>
      <c r="B179" s="83" t="s">
        <v>5747</v>
      </c>
      <c r="C179" s="84" t="s">
        <v>5748</v>
      </c>
      <c r="D179" s="86" t="s">
        <v>111</v>
      </c>
      <c r="E179" s="78" t="s">
        <v>4626</v>
      </c>
      <c r="F179" s="86" t="s">
        <v>49</v>
      </c>
      <c r="G179" s="86"/>
      <c r="H179" s="86"/>
      <c r="I179" s="86"/>
    </row>
    <row r="180" spans="1:9" ht="28">
      <c r="A180" s="97">
        <v>207</v>
      </c>
      <c r="B180" s="83" t="s">
        <v>5749</v>
      </c>
      <c r="C180" s="84" t="s">
        <v>5750</v>
      </c>
      <c r="D180" s="86" t="s">
        <v>111</v>
      </c>
      <c r="E180" s="78" t="s">
        <v>4626</v>
      </c>
      <c r="F180" s="86" t="s">
        <v>49</v>
      </c>
      <c r="G180" s="86"/>
      <c r="H180" s="86"/>
      <c r="I180" s="86"/>
    </row>
    <row r="181" spans="1:9" ht="28">
      <c r="A181" s="97">
        <v>208</v>
      </c>
      <c r="B181" s="83" t="s">
        <v>5751</v>
      </c>
      <c r="C181" s="84" t="s">
        <v>5752</v>
      </c>
      <c r="D181" s="86" t="s">
        <v>111</v>
      </c>
      <c r="E181" s="78" t="s">
        <v>4626</v>
      </c>
      <c r="F181" s="86" t="s">
        <v>49</v>
      </c>
      <c r="G181" s="86"/>
      <c r="H181" s="86"/>
      <c r="I181" s="86"/>
    </row>
    <row r="182" spans="1:9" ht="28">
      <c r="A182" s="97">
        <v>209</v>
      </c>
      <c r="B182" s="83" t="s">
        <v>3362</v>
      </c>
      <c r="C182" s="84" t="s">
        <v>5753</v>
      </c>
      <c r="D182" s="86" t="s">
        <v>111</v>
      </c>
      <c r="E182" s="78" t="s">
        <v>4626</v>
      </c>
      <c r="F182" s="86" t="s">
        <v>49</v>
      </c>
      <c r="G182" s="86"/>
      <c r="H182" s="86"/>
      <c r="I182" s="86"/>
    </row>
    <row r="183" spans="1:9" ht="28">
      <c r="A183" s="97">
        <v>210</v>
      </c>
      <c r="B183" s="83" t="s">
        <v>5754</v>
      </c>
      <c r="C183" s="84" t="s">
        <v>5755</v>
      </c>
      <c r="D183" s="86" t="s">
        <v>111</v>
      </c>
      <c r="E183" s="78" t="s">
        <v>4626</v>
      </c>
      <c r="F183" s="86" t="s">
        <v>49</v>
      </c>
      <c r="G183" s="86"/>
      <c r="H183" s="86"/>
      <c r="I183" s="86"/>
    </row>
    <row r="184" spans="1:9" ht="28">
      <c r="A184" s="97">
        <v>211</v>
      </c>
      <c r="B184" s="83" t="s">
        <v>5756</v>
      </c>
      <c r="C184" s="84" t="s">
        <v>5757</v>
      </c>
      <c r="D184" s="86" t="s">
        <v>111</v>
      </c>
      <c r="E184" s="86"/>
      <c r="F184" s="86" t="s">
        <v>49</v>
      </c>
      <c r="G184" s="86"/>
      <c r="H184" s="86"/>
      <c r="I184" s="86"/>
    </row>
    <row r="185" spans="1:9" ht="28">
      <c r="A185" s="97">
        <v>212</v>
      </c>
      <c r="B185" s="83" t="s">
        <v>5758</v>
      </c>
      <c r="C185" s="84" t="s">
        <v>5759</v>
      </c>
      <c r="D185" s="86" t="s">
        <v>111</v>
      </c>
      <c r="E185" s="78" t="s">
        <v>4626</v>
      </c>
      <c r="F185" s="86" t="s">
        <v>49</v>
      </c>
      <c r="G185" s="86"/>
      <c r="H185" s="86"/>
      <c r="I185" s="86"/>
    </row>
    <row r="186" spans="1:9" ht="28">
      <c r="A186" s="97">
        <v>213</v>
      </c>
      <c r="B186" s="83" t="s">
        <v>5760</v>
      </c>
      <c r="C186" s="84" t="s">
        <v>5761</v>
      </c>
      <c r="D186" s="86" t="s">
        <v>111</v>
      </c>
      <c r="E186" s="78" t="s">
        <v>4626</v>
      </c>
      <c r="F186" s="86" t="s">
        <v>49</v>
      </c>
      <c r="G186" s="86"/>
      <c r="H186" s="86"/>
      <c r="I186" s="86"/>
    </row>
    <row r="187" spans="1:9" ht="28">
      <c r="A187" s="97">
        <v>214</v>
      </c>
      <c r="B187" s="83" t="s">
        <v>5762</v>
      </c>
      <c r="C187" s="84" t="s">
        <v>5763</v>
      </c>
      <c r="D187" s="86" t="s">
        <v>111</v>
      </c>
      <c r="E187" s="78" t="s">
        <v>4626</v>
      </c>
      <c r="F187" s="86" t="s">
        <v>49</v>
      </c>
      <c r="G187" s="86"/>
      <c r="H187" s="86"/>
      <c r="I187" s="86"/>
    </row>
    <row r="188" spans="1:9" ht="28">
      <c r="A188" s="97">
        <v>215</v>
      </c>
      <c r="B188" s="83" t="s">
        <v>5764</v>
      </c>
      <c r="C188" s="84" t="s">
        <v>5765</v>
      </c>
      <c r="D188" s="86" t="s">
        <v>111</v>
      </c>
      <c r="E188" s="78" t="s">
        <v>4626</v>
      </c>
      <c r="F188" s="86" t="s">
        <v>49</v>
      </c>
      <c r="G188" s="86"/>
      <c r="H188" s="86"/>
      <c r="I188" s="86"/>
    </row>
    <row r="189" spans="1:9" ht="28">
      <c r="A189" s="97">
        <v>216</v>
      </c>
      <c r="B189" s="83" t="s">
        <v>5766</v>
      </c>
      <c r="C189" s="84" t="s">
        <v>5767</v>
      </c>
      <c r="D189" s="86" t="s">
        <v>111</v>
      </c>
      <c r="E189" s="78" t="s">
        <v>4626</v>
      </c>
      <c r="F189" s="86" t="s">
        <v>49</v>
      </c>
      <c r="G189" s="86"/>
      <c r="H189" s="86"/>
      <c r="I189" s="86"/>
    </row>
    <row r="190" spans="1:9" ht="28">
      <c r="A190" s="97">
        <v>218</v>
      </c>
      <c r="B190" s="83" t="s">
        <v>5770</v>
      </c>
      <c r="C190" s="84" t="s">
        <v>5771</v>
      </c>
      <c r="D190" s="86" t="s">
        <v>111</v>
      </c>
      <c r="E190" s="78" t="s">
        <v>4626</v>
      </c>
      <c r="F190" s="86" t="s">
        <v>49</v>
      </c>
      <c r="G190" s="86"/>
      <c r="H190" s="86"/>
      <c r="I190" s="86"/>
    </row>
    <row r="191" spans="1:9" ht="42">
      <c r="A191" s="97">
        <v>219</v>
      </c>
      <c r="B191" s="83" t="s">
        <v>5772</v>
      </c>
      <c r="C191" s="84" t="s">
        <v>5773</v>
      </c>
      <c r="D191" s="86" t="s">
        <v>111</v>
      </c>
      <c r="E191" s="78" t="s">
        <v>4626</v>
      </c>
      <c r="F191" s="86" t="s">
        <v>49</v>
      </c>
      <c r="G191" s="86"/>
      <c r="H191" s="86"/>
      <c r="I191" s="86"/>
    </row>
    <row r="192" spans="1:9" ht="28">
      <c r="A192" s="97">
        <v>220</v>
      </c>
      <c r="B192" s="83" t="s">
        <v>5661</v>
      </c>
      <c r="C192" s="84" t="s">
        <v>5774</v>
      </c>
      <c r="D192" s="86" t="s">
        <v>111</v>
      </c>
      <c r="E192" s="78" t="s">
        <v>4626</v>
      </c>
      <c r="F192" s="86" t="s">
        <v>49</v>
      </c>
      <c r="G192" s="86"/>
      <c r="H192" s="86"/>
      <c r="I192" s="86"/>
    </row>
    <row r="193" spans="1:9" ht="42">
      <c r="A193" s="97">
        <v>221</v>
      </c>
      <c r="B193" s="83" t="s">
        <v>5775</v>
      </c>
      <c r="C193" s="84" t="s">
        <v>5776</v>
      </c>
      <c r="D193" s="86" t="s">
        <v>111</v>
      </c>
      <c r="E193" s="78" t="s">
        <v>4626</v>
      </c>
      <c r="F193" s="86" t="s">
        <v>49</v>
      </c>
      <c r="G193" s="86"/>
      <c r="H193" s="86"/>
      <c r="I193" s="86"/>
    </row>
    <row r="194" spans="1:9" ht="42">
      <c r="A194" s="97">
        <v>222</v>
      </c>
      <c r="B194" s="83" t="s">
        <v>5777</v>
      </c>
      <c r="C194" s="84" t="s">
        <v>5778</v>
      </c>
      <c r="D194" s="86" t="s">
        <v>111</v>
      </c>
      <c r="E194" s="78" t="s">
        <v>4626</v>
      </c>
      <c r="F194" s="86" t="s">
        <v>49</v>
      </c>
      <c r="G194" s="86"/>
      <c r="H194" s="86"/>
      <c r="I194" s="86"/>
    </row>
    <row r="195" spans="1:9" ht="28">
      <c r="A195" s="97">
        <v>223</v>
      </c>
      <c r="B195" s="83" t="s">
        <v>5779</v>
      </c>
      <c r="C195" s="84" t="s">
        <v>5780</v>
      </c>
      <c r="D195" s="86" t="s">
        <v>111</v>
      </c>
      <c r="E195" s="78" t="s">
        <v>4626</v>
      </c>
      <c r="F195" s="86" t="s">
        <v>49</v>
      </c>
      <c r="G195" s="86"/>
      <c r="H195" s="86"/>
      <c r="I195" s="86"/>
    </row>
    <row r="196" spans="1:9" ht="28">
      <c r="A196" s="97">
        <v>224</v>
      </c>
      <c r="B196" s="83" t="s">
        <v>5781</v>
      </c>
      <c r="C196" s="84" t="s">
        <v>5782</v>
      </c>
      <c r="D196" s="86" t="s">
        <v>111</v>
      </c>
      <c r="E196" s="78" t="s">
        <v>4626</v>
      </c>
      <c r="F196" s="86" t="s">
        <v>49</v>
      </c>
      <c r="G196" s="86"/>
      <c r="H196" s="86"/>
      <c r="I196" s="86"/>
    </row>
    <row r="197" spans="1:9" ht="28">
      <c r="A197" s="97">
        <v>225</v>
      </c>
      <c r="B197" s="83" t="s">
        <v>5783</v>
      </c>
      <c r="C197" s="84" t="s">
        <v>5784</v>
      </c>
      <c r="D197" s="86" t="s">
        <v>111</v>
      </c>
      <c r="E197" s="78" t="s">
        <v>4626</v>
      </c>
      <c r="F197" s="86" t="s">
        <v>49</v>
      </c>
      <c r="G197" s="86"/>
      <c r="H197" s="86"/>
      <c r="I197" s="86"/>
    </row>
    <row r="198" spans="1:9" ht="28">
      <c r="A198" s="97">
        <v>226</v>
      </c>
      <c r="B198" s="83" t="s">
        <v>5785</v>
      </c>
      <c r="C198" s="84" t="s">
        <v>5786</v>
      </c>
      <c r="D198" s="86" t="s">
        <v>111</v>
      </c>
      <c r="E198" s="78" t="s">
        <v>4626</v>
      </c>
      <c r="F198" s="86" t="s">
        <v>49</v>
      </c>
      <c r="G198" s="86"/>
      <c r="H198" s="86"/>
      <c r="I198" s="86"/>
    </row>
    <row r="199" spans="1:9" ht="28">
      <c r="A199" s="97">
        <v>227</v>
      </c>
      <c r="B199" s="83" t="s">
        <v>5787</v>
      </c>
      <c r="C199" s="84" t="s">
        <v>5788</v>
      </c>
      <c r="D199" s="86" t="s">
        <v>111</v>
      </c>
      <c r="E199" s="78" t="s">
        <v>4626</v>
      </c>
      <c r="F199" s="86" t="s">
        <v>49</v>
      </c>
      <c r="G199" s="86"/>
      <c r="H199" s="86"/>
      <c r="I199" s="86"/>
    </row>
    <row r="200" spans="1:9" ht="28">
      <c r="A200" s="97">
        <v>228</v>
      </c>
      <c r="B200" s="83" t="s">
        <v>5789</v>
      </c>
      <c r="C200" s="84" t="s">
        <v>5790</v>
      </c>
      <c r="D200" s="86" t="s">
        <v>111</v>
      </c>
      <c r="E200" s="78" t="s">
        <v>4626</v>
      </c>
      <c r="F200" s="86" t="s">
        <v>49</v>
      </c>
      <c r="G200" s="86"/>
      <c r="H200" s="86"/>
      <c r="I200" s="86"/>
    </row>
    <row r="201" spans="1:9">
      <c r="A201" s="97"/>
      <c r="B201" s="83"/>
      <c r="C201" s="120" t="s">
        <v>95</v>
      </c>
      <c r="D201" s="121">
        <f>COUNTA(D52:D200)</f>
        <v>147</v>
      </c>
      <c r="E201" s="78"/>
      <c r="F201" s="86"/>
      <c r="G201" s="86"/>
      <c r="H201" s="86"/>
      <c r="I201" s="86"/>
    </row>
    <row r="202" spans="1:9">
      <c r="A202" s="97"/>
      <c r="B202" s="83"/>
      <c r="C202" s="84"/>
      <c r="D202" s="86"/>
      <c r="E202" s="78"/>
      <c r="F202" s="86"/>
      <c r="G202" s="86"/>
      <c r="H202" s="86"/>
      <c r="I202" s="86"/>
    </row>
    <row r="203" spans="1:9" ht="28">
      <c r="A203" s="97">
        <v>1</v>
      </c>
      <c r="B203" s="83" t="s">
        <v>5361</v>
      </c>
      <c r="C203" s="84" t="s">
        <v>5362</v>
      </c>
      <c r="D203" s="86" t="s">
        <v>279</v>
      </c>
      <c r="E203" s="78"/>
      <c r="F203" s="86" t="s">
        <v>49</v>
      </c>
      <c r="G203" s="86"/>
      <c r="H203" s="86"/>
      <c r="I203" s="86"/>
    </row>
    <row r="204" spans="1:9" ht="28">
      <c r="A204" s="97">
        <v>5</v>
      </c>
      <c r="B204" s="83" t="s">
        <v>5367</v>
      </c>
      <c r="C204" s="84" t="s">
        <v>5368</v>
      </c>
      <c r="D204" s="86" t="s">
        <v>279</v>
      </c>
      <c r="E204" s="78"/>
      <c r="F204" s="86" t="s">
        <v>49</v>
      </c>
      <c r="G204" s="86"/>
      <c r="H204" s="86"/>
      <c r="I204" s="86"/>
    </row>
    <row r="205" spans="1:9" ht="28">
      <c r="A205" s="97">
        <v>10</v>
      </c>
      <c r="B205" s="83" t="s">
        <v>5377</v>
      </c>
      <c r="C205" s="84" t="s">
        <v>5378</v>
      </c>
      <c r="D205" s="86" t="s">
        <v>279</v>
      </c>
      <c r="E205" s="78"/>
      <c r="F205" s="86" t="s">
        <v>49</v>
      </c>
      <c r="G205" s="86"/>
      <c r="H205" s="86"/>
      <c r="I205" s="86"/>
    </row>
    <row r="206" spans="1:9" ht="28">
      <c r="A206" s="97">
        <v>12</v>
      </c>
      <c r="B206" s="83" t="s">
        <v>5381</v>
      </c>
      <c r="C206" s="84" t="s">
        <v>5382</v>
      </c>
      <c r="D206" s="86" t="s">
        <v>279</v>
      </c>
      <c r="E206" s="78"/>
      <c r="F206" s="86" t="s">
        <v>49</v>
      </c>
      <c r="G206" s="86"/>
      <c r="H206" s="86"/>
      <c r="I206" s="86"/>
    </row>
    <row r="207" spans="1:9" ht="28">
      <c r="A207" s="97">
        <v>20</v>
      </c>
      <c r="B207" s="83" t="s">
        <v>5396</v>
      </c>
      <c r="C207" s="84" t="s">
        <v>5397</v>
      </c>
      <c r="D207" s="86" t="s">
        <v>279</v>
      </c>
      <c r="E207" s="78"/>
      <c r="F207" s="86" t="s">
        <v>49</v>
      </c>
      <c r="G207" s="86"/>
      <c r="H207" s="86"/>
      <c r="I207" s="86"/>
    </row>
    <row r="208" spans="1:9" ht="70">
      <c r="A208" s="97">
        <v>21</v>
      </c>
      <c r="B208" s="83" t="s">
        <v>5398</v>
      </c>
      <c r="C208" s="84" t="s">
        <v>5399</v>
      </c>
      <c r="D208" s="86" t="s">
        <v>279</v>
      </c>
      <c r="E208" s="78"/>
      <c r="F208" s="86" t="s">
        <v>49</v>
      </c>
      <c r="G208" s="86"/>
      <c r="H208" s="86"/>
      <c r="I208" s="86"/>
    </row>
    <row r="209" spans="1:9" ht="28">
      <c r="A209" s="97">
        <v>32</v>
      </c>
      <c r="B209" s="83" t="s">
        <v>5419</v>
      </c>
      <c r="C209" s="84" t="s">
        <v>5420</v>
      </c>
      <c r="D209" s="86" t="s">
        <v>279</v>
      </c>
      <c r="E209" s="78"/>
      <c r="F209" s="86" t="s">
        <v>49</v>
      </c>
      <c r="G209" s="86"/>
      <c r="H209" s="86"/>
      <c r="I209" s="86"/>
    </row>
    <row r="210" spans="1:9" ht="28">
      <c r="A210" s="97">
        <v>36</v>
      </c>
      <c r="B210" s="83" t="s">
        <v>5427</v>
      </c>
      <c r="C210" s="84" t="s">
        <v>5428</v>
      </c>
      <c r="D210" s="86" t="s">
        <v>279</v>
      </c>
      <c r="E210" s="78"/>
      <c r="F210" s="86" t="s">
        <v>49</v>
      </c>
      <c r="G210" s="86"/>
      <c r="H210" s="86"/>
      <c r="I210" s="86"/>
    </row>
    <row r="211" spans="1:9" ht="28">
      <c r="A211" s="97">
        <v>37</v>
      </c>
      <c r="B211" s="83" t="s">
        <v>5429</v>
      </c>
      <c r="C211" s="84" t="s">
        <v>5430</v>
      </c>
      <c r="D211" s="86" t="s">
        <v>279</v>
      </c>
      <c r="E211" s="78"/>
      <c r="F211" s="86" t="s">
        <v>49</v>
      </c>
      <c r="G211" s="86"/>
      <c r="H211" s="86"/>
      <c r="I211" s="86"/>
    </row>
    <row r="212" spans="1:9" ht="28">
      <c r="A212" s="97">
        <v>47</v>
      </c>
      <c r="B212" s="83" t="s">
        <v>5449</v>
      </c>
      <c r="C212" s="84" t="s">
        <v>5450</v>
      </c>
      <c r="D212" s="86" t="s">
        <v>279</v>
      </c>
      <c r="E212" s="78"/>
      <c r="F212" s="86" t="s">
        <v>49</v>
      </c>
      <c r="G212" s="86"/>
      <c r="H212" s="86"/>
      <c r="I212" s="86"/>
    </row>
    <row r="213" spans="1:9" ht="28">
      <c r="A213" s="97">
        <v>48</v>
      </c>
      <c r="B213" s="83" t="s">
        <v>5451</v>
      </c>
      <c r="C213" s="84" t="s">
        <v>5452</v>
      </c>
      <c r="D213" s="86" t="s">
        <v>279</v>
      </c>
      <c r="E213" s="78"/>
      <c r="F213" s="86" t="s">
        <v>49</v>
      </c>
      <c r="G213" s="86"/>
      <c r="H213" s="86"/>
      <c r="I213" s="86"/>
    </row>
    <row r="214" spans="1:9" ht="28">
      <c r="A214" s="97">
        <v>50</v>
      </c>
      <c r="B214" s="83" t="s">
        <v>5455</v>
      </c>
      <c r="C214" s="84" t="s">
        <v>5456</v>
      </c>
      <c r="D214" s="86" t="s">
        <v>279</v>
      </c>
      <c r="E214" s="78"/>
      <c r="F214" s="86" t="s">
        <v>49</v>
      </c>
      <c r="G214" s="86"/>
      <c r="H214" s="86"/>
      <c r="I214" s="86"/>
    </row>
    <row r="215" spans="1:9" ht="28">
      <c r="A215" s="97">
        <v>64</v>
      </c>
      <c r="B215" s="83" t="s">
        <v>5484</v>
      </c>
      <c r="C215" s="84" t="s">
        <v>5485</v>
      </c>
      <c r="D215" s="86" t="s">
        <v>279</v>
      </c>
      <c r="E215" s="78"/>
      <c r="F215" s="86" t="s">
        <v>49</v>
      </c>
      <c r="G215" s="86"/>
      <c r="H215" s="86"/>
      <c r="I215" s="86"/>
    </row>
    <row r="216" spans="1:9" ht="28">
      <c r="A216" s="97">
        <v>72</v>
      </c>
      <c r="B216" s="83" t="s">
        <v>5500</v>
      </c>
      <c r="C216" s="84" t="s">
        <v>5501</v>
      </c>
      <c r="D216" s="86" t="s">
        <v>279</v>
      </c>
      <c r="E216" s="78"/>
      <c r="F216" s="86" t="s">
        <v>49</v>
      </c>
      <c r="G216" s="86"/>
      <c r="H216" s="86"/>
      <c r="I216" s="86"/>
    </row>
    <row r="217" spans="1:9" ht="28">
      <c r="A217" s="97">
        <v>74</v>
      </c>
      <c r="B217" s="83" t="s">
        <v>5504</v>
      </c>
      <c r="C217" s="84" t="s">
        <v>5505</v>
      </c>
      <c r="D217" s="86" t="s">
        <v>279</v>
      </c>
      <c r="E217" s="78"/>
      <c r="F217" s="86" t="s">
        <v>49</v>
      </c>
      <c r="G217" s="86"/>
      <c r="H217" s="86"/>
      <c r="I217" s="86"/>
    </row>
    <row r="218" spans="1:9" ht="28">
      <c r="A218" s="97">
        <v>77</v>
      </c>
      <c r="B218" s="83" t="s">
        <v>5510</v>
      </c>
      <c r="C218" s="84" t="s">
        <v>5511</v>
      </c>
      <c r="D218" s="86" t="s">
        <v>279</v>
      </c>
      <c r="E218" s="78"/>
      <c r="F218" s="86" t="s">
        <v>49</v>
      </c>
      <c r="G218" s="86"/>
      <c r="H218" s="86"/>
      <c r="I218" s="86"/>
    </row>
    <row r="219" spans="1:9" ht="28">
      <c r="A219" s="97">
        <v>79</v>
      </c>
      <c r="B219" s="83" t="s">
        <v>5510</v>
      </c>
      <c r="C219" s="84" t="s">
        <v>5514</v>
      </c>
      <c r="D219" s="86" t="s">
        <v>279</v>
      </c>
      <c r="E219" s="78"/>
      <c r="F219" s="86" t="s">
        <v>49</v>
      </c>
      <c r="G219" s="86"/>
      <c r="H219" s="86"/>
      <c r="I219" s="86"/>
    </row>
    <row r="220" spans="1:9" ht="28">
      <c r="A220" s="97">
        <v>82</v>
      </c>
      <c r="B220" s="83" t="s">
        <v>5519</v>
      </c>
      <c r="C220" s="84" t="s">
        <v>5520</v>
      </c>
      <c r="D220" s="86" t="s">
        <v>279</v>
      </c>
      <c r="E220" s="78"/>
      <c r="F220" s="86" t="s">
        <v>49</v>
      </c>
      <c r="G220" s="86"/>
      <c r="H220" s="86"/>
      <c r="I220" s="86"/>
    </row>
    <row r="221" spans="1:9" ht="28">
      <c r="A221" s="97">
        <v>85</v>
      </c>
      <c r="B221" s="83" t="s">
        <v>1590</v>
      </c>
      <c r="C221" s="84" t="s">
        <v>5524</v>
      </c>
      <c r="D221" s="86" t="s">
        <v>279</v>
      </c>
      <c r="E221" s="78"/>
      <c r="F221" s="86" t="s">
        <v>49</v>
      </c>
      <c r="G221" s="86"/>
      <c r="H221" s="86"/>
      <c r="I221" s="86"/>
    </row>
    <row r="222" spans="1:9" ht="28">
      <c r="A222" s="97">
        <v>86</v>
      </c>
      <c r="B222" s="83" t="s">
        <v>5525</v>
      </c>
      <c r="C222" s="84" t="s">
        <v>5526</v>
      </c>
      <c r="D222" s="86" t="s">
        <v>279</v>
      </c>
      <c r="E222" s="78"/>
      <c r="F222" s="86" t="s">
        <v>49</v>
      </c>
      <c r="G222" s="86"/>
      <c r="H222" s="86"/>
      <c r="I222" s="86"/>
    </row>
    <row r="223" spans="1:9" ht="28">
      <c r="A223" s="97">
        <v>90</v>
      </c>
      <c r="B223" s="83" t="s">
        <v>5532</v>
      </c>
      <c r="C223" s="84" t="s">
        <v>5533</v>
      </c>
      <c r="D223" s="86" t="s">
        <v>279</v>
      </c>
      <c r="E223" s="78"/>
      <c r="F223" s="86" t="s">
        <v>49</v>
      </c>
      <c r="G223" s="86"/>
      <c r="H223" s="86"/>
      <c r="I223" s="86"/>
    </row>
    <row r="224" spans="1:9" ht="28">
      <c r="A224" s="97">
        <v>91</v>
      </c>
      <c r="B224" s="83" t="s">
        <v>5534</v>
      </c>
      <c r="C224" s="84" t="s">
        <v>5535</v>
      </c>
      <c r="D224" s="86" t="s">
        <v>279</v>
      </c>
      <c r="E224" s="78"/>
      <c r="F224" s="86" t="s">
        <v>49</v>
      </c>
      <c r="G224" s="86"/>
      <c r="H224" s="86"/>
      <c r="I224" s="86"/>
    </row>
    <row r="225" spans="1:9" ht="28">
      <c r="A225" s="97">
        <v>108</v>
      </c>
      <c r="B225" s="83" t="s">
        <v>5565</v>
      </c>
      <c r="C225" s="84" t="s">
        <v>5566</v>
      </c>
      <c r="D225" s="86" t="s">
        <v>279</v>
      </c>
      <c r="E225" s="78"/>
      <c r="F225" s="86" t="s">
        <v>49</v>
      </c>
      <c r="G225" s="86"/>
      <c r="H225" s="86"/>
      <c r="I225" s="86"/>
    </row>
    <row r="226" spans="1:9" ht="28">
      <c r="A226" s="97">
        <v>109</v>
      </c>
      <c r="B226" s="83" t="s">
        <v>1590</v>
      </c>
      <c r="C226" s="84" t="s">
        <v>5567</v>
      </c>
      <c r="D226" s="86" t="s">
        <v>279</v>
      </c>
      <c r="E226" s="78"/>
      <c r="F226" s="86" t="s">
        <v>49</v>
      </c>
      <c r="G226" s="86"/>
      <c r="H226" s="86"/>
      <c r="I226" s="86"/>
    </row>
    <row r="227" spans="1:9" ht="28">
      <c r="A227" s="97">
        <v>110</v>
      </c>
      <c r="B227" s="83" t="s">
        <v>5568</v>
      </c>
      <c r="C227" s="84" t="s">
        <v>5569</v>
      </c>
      <c r="D227" s="86" t="s">
        <v>279</v>
      </c>
      <c r="E227" s="78"/>
      <c r="F227" s="86" t="s">
        <v>49</v>
      </c>
      <c r="G227" s="86"/>
      <c r="H227" s="86"/>
      <c r="I227" s="86"/>
    </row>
    <row r="228" spans="1:9" ht="28">
      <c r="A228" s="97">
        <v>111</v>
      </c>
      <c r="B228" s="83" t="s">
        <v>1590</v>
      </c>
      <c r="C228" s="84" t="s">
        <v>5570</v>
      </c>
      <c r="D228" s="86" t="s">
        <v>279</v>
      </c>
      <c r="E228" s="78"/>
      <c r="F228" s="86" t="s">
        <v>49</v>
      </c>
      <c r="G228" s="86"/>
      <c r="H228" s="86"/>
      <c r="I228" s="86"/>
    </row>
    <row r="229" spans="1:9" ht="28">
      <c r="A229" s="97">
        <v>112</v>
      </c>
      <c r="B229" s="83" t="s">
        <v>5571</v>
      </c>
      <c r="C229" s="84" t="s">
        <v>5572</v>
      </c>
      <c r="D229" s="86" t="s">
        <v>279</v>
      </c>
      <c r="E229" s="78"/>
      <c r="F229" s="86" t="s">
        <v>49</v>
      </c>
      <c r="G229" s="86"/>
      <c r="H229" s="86"/>
      <c r="I229" s="86"/>
    </row>
    <row r="230" spans="1:9" ht="28">
      <c r="A230" s="97">
        <v>123</v>
      </c>
      <c r="B230" s="83" t="s">
        <v>5589</v>
      </c>
      <c r="C230" s="84" t="s">
        <v>5590</v>
      </c>
      <c r="D230" s="86" t="s">
        <v>279</v>
      </c>
      <c r="E230" s="78"/>
      <c r="F230" s="86" t="s">
        <v>49</v>
      </c>
      <c r="G230" s="86"/>
      <c r="H230" s="86"/>
      <c r="I230" s="86"/>
    </row>
    <row r="231" spans="1:9" ht="42">
      <c r="A231" s="97">
        <v>125</v>
      </c>
      <c r="B231" s="83" t="s">
        <v>5593</v>
      </c>
      <c r="C231" s="84" t="s">
        <v>5594</v>
      </c>
      <c r="D231" s="86" t="s">
        <v>279</v>
      </c>
      <c r="E231" s="78"/>
      <c r="F231" s="86" t="s">
        <v>49</v>
      </c>
      <c r="G231" s="86"/>
      <c r="H231" s="86"/>
      <c r="I231" s="86"/>
    </row>
    <row r="232" spans="1:9" ht="28">
      <c r="A232" s="97">
        <v>128</v>
      </c>
      <c r="B232" s="83" t="s">
        <v>5599</v>
      </c>
      <c r="C232" s="84" t="s">
        <v>5600</v>
      </c>
      <c r="D232" s="86" t="s">
        <v>279</v>
      </c>
      <c r="E232" s="78"/>
      <c r="F232" s="86" t="s">
        <v>49</v>
      </c>
      <c r="G232" s="86"/>
      <c r="H232" s="86"/>
      <c r="I232" s="86"/>
    </row>
    <row r="233" spans="1:9" ht="28">
      <c r="A233" s="97">
        <v>132</v>
      </c>
      <c r="B233" s="83" t="s">
        <v>5607</v>
      </c>
      <c r="C233" s="84" t="s">
        <v>5608</v>
      </c>
      <c r="D233" s="86" t="s">
        <v>279</v>
      </c>
      <c r="E233" s="78"/>
      <c r="F233" s="86" t="s">
        <v>49</v>
      </c>
      <c r="G233" s="86"/>
      <c r="H233" s="86"/>
      <c r="I233" s="86"/>
    </row>
    <row r="234" spans="1:9" ht="28">
      <c r="A234" s="97">
        <v>133</v>
      </c>
      <c r="B234" s="83" t="s">
        <v>5609</v>
      </c>
      <c r="C234" s="84" t="s">
        <v>5610</v>
      </c>
      <c r="D234" s="86" t="s">
        <v>279</v>
      </c>
      <c r="E234" s="78"/>
      <c r="F234" s="86" t="s">
        <v>49</v>
      </c>
      <c r="G234" s="86"/>
      <c r="H234" s="86"/>
      <c r="I234" s="86"/>
    </row>
    <row r="235" spans="1:9" ht="28">
      <c r="A235" s="97">
        <v>138</v>
      </c>
      <c r="B235" s="83" t="s">
        <v>5617</v>
      </c>
      <c r="C235" s="84" t="s">
        <v>5618</v>
      </c>
      <c r="D235" s="86" t="s">
        <v>279</v>
      </c>
      <c r="E235" s="78"/>
      <c r="F235" s="86" t="s">
        <v>49</v>
      </c>
      <c r="G235" s="86"/>
      <c r="H235" s="86"/>
      <c r="I235" s="86"/>
    </row>
    <row r="236" spans="1:9" ht="42">
      <c r="A236" s="97">
        <v>139</v>
      </c>
      <c r="B236" s="83" t="s">
        <v>5619</v>
      </c>
      <c r="C236" s="84" t="s">
        <v>5620</v>
      </c>
      <c r="D236" s="86" t="s">
        <v>279</v>
      </c>
      <c r="E236" s="78"/>
      <c r="F236" s="86" t="s">
        <v>49</v>
      </c>
      <c r="G236" s="86"/>
      <c r="H236" s="86"/>
      <c r="I236" s="86"/>
    </row>
    <row r="237" spans="1:9" ht="42">
      <c r="A237" s="97">
        <v>141</v>
      </c>
      <c r="B237" s="83" t="s">
        <v>5623</v>
      </c>
      <c r="C237" s="84" t="s">
        <v>5624</v>
      </c>
      <c r="D237" s="86" t="s">
        <v>279</v>
      </c>
      <c r="E237" s="78"/>
      <c r="F237" s="86" t="s">
        <v>49</v>
      </c>
      <c r="G237" s="86"/>
      <c r="H237" s="86"/>
      <c r="I237" s="86"/>
    </row>
    <row r="238" spans="1:9" ht="42">
      <c r="A238" s="97">
        <v>145</v>
      </c>
      <c r="B238" s="83" t="s">
        <v>5630</v>
      </c>
      <c r="C238" s="84" t="s">
        <v>5631</v>
      </c>
      <c r="D238" s="86" t="s">
        <v>279</v>
      </c>
      <c r="E238" s="78"/>
      <c r="F238" s="86" t="s">
        <v>49</v>
      </c>
      <c r="G238" s="86"/>
      <c r="H238" s="86"/>
      <c r="I238" s="86"/>
    </row>
    <row r="239" spans="1:9" ht="28">
      <c r="A239" s="97">
        <v>147</v>
      </c>
      <c r="B239" s="83" t="s">
        <v>5634</v>
      </c>
      <c r="C239" s="84" t="s">
        <v>5635</v>
      </c>
      <c r="D239" s="86" t="s">
        <v>279</v>
      </c>
      <c r="E239" s="78"/>
      <c r="F239" s="86" t="s">
        <v>49</v>
      </c>
      <c r="G239" s="86"/>
      <c r="H239" s="86"/>
      <c r="I239" s="86"/>
    </row>
    <row r="240" spans="1:9" ht="28">
      <c r="A240" s="97">
        <v>150</v>
      </c>
      <c r="B240" s="83" t="s">
        <v>5639</v>
      </c>
      <c r="C240" s="84" t="s">
        <v>5640</v>
      </c>
      <c r="D240" s="86" t="s">
        <v>279</v>
      </c>
      <c r="E240" s="78"/>
      <c r="F240" s="86" t="s">
        <v>49</v>
      </c>
      <c r="G240" s="86"/>
      <c r="H240" s="86"/>
      <c r="I240" s="86"/>
    </row>
    <row r="241" spans="1:9" ht="42">
      <c r="A241" s="97">
        <v>155</v>
      </c>
      <c r="B241" s="83" t="s">
        <v>5649</v>
      </c>
      <c r="C241" s="84" t="s">
        <v>5650</v>
      </c>
      <c r="D241" s="86" t="s">
        <v>279</v>
      </c>
      <c r="E241" s="78"/>
      <c r="F241" s="86" t="s">
        <v>49</v>
      </c>
      <c r="G241" s="86"/>
      <c r="H241" s="86"/>
      <c r="I241" s="86"/>
    </row>
    <row r="242" spans="1:9" ht="28">
      <c r="A242" s="97">
        <v>156</v>
      </c>
      <c r="B242" s="83" t="s">
        <v>5651</v>
      </c>
      <c r="C242" s="84" t="s">
        <v>5652</v>
      </c>
      <c r="D242" s="86" t="s">
        <v>279</v>
      </c>
      <c r="E242" s="78"/>
      <c r="F242" s="86" t="s">
        <v>49</v>
      </c>
      <c r="G242" s="86"/>
      <c r="H242" s="86"/>
      <c r="I242" s="86"/>
    </row>
    <row r="243" spans="1:9" ht="28">
      <c r="A243" s="97">
        <v>157</v>
      </c>
      <c r="B243" s="83" t="s">
        <v>5653</v>
      </c>
      <c r="C243" s="84" t="s">
        <v>5654</v>
      </c>
      <c r="D243" s="86" t="s">
        <v>279</v>
      </c>
      <c r="E243" s="78"/>
      <c r="F243" s="86" t="s">
        <v>49</v>
      </c>
      <c r="G243" s="86"/>
      <c r="H243" s="86"/>
      <c r="I243" s="86"/>
    </row>
    <row r="244" spans="1:9" ht="28">
      <c r="A244" s="97">
        <v>165</v>
      </c>
      <c r="B244" s="83" t="s">
        <v>5669</v>
      </c>
      <c r="C244" s="84" t="s">
        <v>5670</v>
      </c>
      <c r="D244" s="86" t="s">
        <v>279</v>
      </c>
      <c r="E244" s="78"/>
      <c r="F244" s="86" t="s">
        <v>49</v>
      </c>
      <c r="G244" s="86"/>
      <c r="H244" s="86"/>
      <c r="I244" s="86"/>
    </row>
    <row r="245" spans="1:9" ht="56">
      <c r="A245" s="97">
        <v>167</v>
      </c>
      <c r="B245" s="83" t="s">
        <v>5673</v>
      </c>
      <c r="C245" s="84" t="s">
        <v>5674</v>
      </c>
      <c r="D245" s="86" t="s">
        <v>279</v>
      </c>
      <c r="E245" s="78"/>
      <c r="F245" s="86" t="s">
        <v>49</v>
      </c>
      <c r="G245" s="86"/>
      <c r="H245" s="86"/>
      <c r="I245" s="86"/>
    </row>
    <row r="246" spans="1:9" ht="28">
      <c r="A246" s="97">
        <v>169</v>
      </c>
      <c r="B246" s="83" t="s">
        <v>5676</v>
      </c>
      <c r="C246" s="84" t="s">
        <v>5677</v>
      </c>
      <c r="D246" s="86" t="s">
        <v>279</v>
      </c>
      <c r="E246" s="78"/>
      <c r="F246" s="86" t="s">
        <v>49</v>
      </c>
      <c r="G246" s="86"/>
      <c r="H246" s="86"/>
      <c r="I246" s="86"/>
    </row>
    <row r="247" spans="1:9" ht="42">
      <c r="A247" s="97">
        <v>171</v>
      </c>
      <c r="B247" s="83" t="s">
        <v>5680</v>
      </c>
      <c r="C247" s="84" t="s">
        <v>5681</v>
      </c>
      <c r="D247" s="86" t="s">
        <v>279</v>
      </c>
      <c r="E247" s="78"/>
      <c r="F247" s="86" t="s">
        <v>49</v>
      </c>
      <c r="G247" s="86"/>
      <c r="H247" s="86"/>
      <c r="I247" s="86"/>
    </row>
    <row r="248" spans="1:9" ht="28">
      <c r="A248" s="97">
        <v>179</v>
      </c>
      <c r="B248" s="83" t="s">
        <v>5696</v>
      </c>
      <c r="C248" s="84" t="s">
        <v>5697</v>
      </c>
      <c r="D248" s="86" t="s">
        <v>279</v>
      </c>
      <c r="E248" s="78"/>
      <c r="F248" s="86" t="s">
        <v>49</v>
      </c>
      <c r="G248" s="86"/>
      <c r="H248" s="86"/>
      <c r="I248" s="86"/>
    </row>
    <row r="249" spans="1:9" ht="28">
      <c r="A249" s="97">
        <v>182</v>
      </c>
      <c r="B249" s="83" t="s">
        <v>5702</v>
      </c>
      <c r="C249" s="84" t="s">
        <v>5703</v>
      </c>
      <c r="D249" s="86" t="s">
        <v>279</v>
      </c>
      <c r="E249" s="78"/>
      <c r="F249" s="86" t="s">
        <v>49</v>
      </c>
      <c r="G249" s="86"/>
      <c r="H249" s="86"/>
      <c r="I249" s="86"/>
    </row>
    <row r="250" spans="1:9" ht="28">
      <c r="A250" s="97">
        <v>183</v>
      </c>
      <c r="B250" s="83" t="s">
        <v>5704</v>
      </c>
      <c r="C250" s="84" t="s">
        <v>5705</v>
      </c>
      <c r="D250" s="86" t="s">
        <v>279</v>
      </c>
      <c r="E250" s="78"/>
      <c r="F250" s="86" t="s">
        <v>49</v>
      </c>
      <c r="G250" s="86"/>
      <c r="H250" s="86"/>
      <c r="I250" s="86"/>
    </row>
    <row r="251" spans="1:9" ht="28">
      <c r="A251" s="97">
        <v>184</v>
      </c>
      <c r="B251" s="83" t="s">
        <v>5706</v>
      </c>
      <c r="C251" s="84" t="s">
        <v>5707</v>
      </c>
      <c r="D251" s="86" t="s">
        <v>279</v>
      </c>
      <c r="E251" s="78"/>
      <c r="F251" s="86" t="s">
        <v>49</v>
      </c>
      <c r="G251" s="86"/>
      <c r="H251" s="86"/>
      <c r="I251" s="86"/>
    </row>
    <row r="252" spans="1:9" ht="28">
      <c r="A252" s="97">
        <v>186</v>
      </c>
      <c r="B252" s="83" t="s">
        <v>5709</v>
      </c>
      <c r="C252" s="84" t="s">
        <v>5710</v>
      </c>
      <c r="D252" s="86" t="s">
        <v>279</v>
      </c>
      <c r="E252" s="78"/>
      <c r="F252" s="86" t="s">
        <v>49</v>
      </c>
      <c r="G252" s="86"/>
      <c r="H252" s="86"/>
      <c r="I252" s="86"/>
    </row>
    <row r="253" spans="1:9" ht="42">
      <c r="A253" s="97">
        <v>187</v>
      </c>
      <c r="B253" s="83" t="s">
        <v>5711</v>
      </c>
      <c r="C253" s="84" t="s">
        <v>5712</v>
      </c>
      <c r="D253" s="86" t="s">
        <v>279</v>
      </c>
      <c r="E253" s="78"/>
      <c r="F253" s="86" t="s">
        <v>49</v>
      </c>
      <c r="G253" s="86"/>
      <c r="H253" s="86"/>
      <c r="I253" s="86"/>
    </row>
    <row r="254" spans="1:9" ht="28">
      <c r="A254" s="97">
        <v>205</v>
      </c>
      <c r="B254" s="83" t="s">
        <v>5745</v>
      </c>
      <c r="C254" s="84" t="s">
        <v>5746</v>
      </c>
      <c r="D254" s="86" t="s">
        <v>279</v>
      </c>
      <c r="E254" s="78"/>
      <c r="F254" s="86" t="s">
        <v>49</v>
      </c>
      <c r="G254" s="86"/>
      <c r="H254" s="86"/>
      <c r="I254" s="86"/>
    </row>
    <row r="255" spans="1:9" ht="28">
      <c r="A255" s="97">
        <v>230</v>
      </c>
      <c r="B255" s="83" t="s">
        <v>5793</v>
      </c>
      <c r="C255" s="84" t="s">
        <v>5794</v>
      </c>
      <c r="D255" s="86" t="s">
        <v>279</v>
      </c>
      <c r="E255" s="78"/>
      <c r="F255" s="86" t="s">
        <v>49</v>
      </c>
      <c r="G255" s="86"/>
      <c r="H255" s="86"/>
      <c r="I255" s="86"/>
    </row>
    <row r="256" spans="1:9" ht="28">
      <c r="A256" s="97">
        <v>231</v>
      </c>
      <c r="B256" s="83" t="s">
        <v>5795</v>
      </c>
      <c r="C256" s="84" t="s">
        <v>5796</v>
      </c>
      <c r="D256" s="86" t="s">
        <v>279</v>
      </c>
      <c r="E256" s="78"/>
      <c r="F256" s="86" t="s">
        <v>49</v>
      </c>
      <c r="G256" s="86"/>
      <c r="H256" s="86"/>
      <c r="I256" s="86"/>
    </row>
    <row r="257" spans="1:9">
      <c r="C257" s="119" t="s">
        <v>95</v>
      </c>
      <c r="D257" s="42">
        <f>COUNTA(D203:D256)</f>
        <v>54</v>
      </c>
    </row>
    <row r="261" spans="1:9">
      <c r="A261" s="86" t="s">
        <v>35</v>
      </c>
      <c r="B261" s="98" t="s">
        <v>36</v>
      </c>
      <c r="C261" s="98" t="s">
        <v>37</v>
      </c>
      <c r="D261" s="86" t="s">
        <v>38</v>
      </c>
      <c r="E261" s="86" t="s">
        <v>39</v>
      </c>
      <c r="F261" s="86" t="s">
        <v>40</v>
      </c>
      <c r="G261" s="86" t="s">
        <v>41</v>
      </c>
      <c r="H261" s="86" t="s">
        <v>42</v>
      </c>
      <c r="I261" s="86" t="s">
        <v>1466</v>
      </c>
    </row>
    <row r="262" spans="1:9" ht="28">
      <c r="A262" s="97">
        <v>60</v>
      </c>
      <c r="B262" s="83" t="s">
        <v>5475</v>
      </c>
      <c r="C262" s="84" t="s">
        <v>5476</v>
      </c>
      <c r="D262" s="86"/>
      <c r="E262" s="86"/>
      <c r="F262" s="86" t="s">
        <v>78</v>
      </c>
      <c r="G262" s="86" t="s">
        <v>79</v>
      </c>
      <c r="H262" s="86" t="s">
        <v>100</v>
      </c>
      <c r="I262" s="86" t="s">
        <v>49</v>
      </c>
    </row>
    <row r="263" spans="1:9" ht="28">
      <c r="A263" s="97">
        <v>232</v>
      </c>
      <c r="B263" s="83" t="s">
        <v>5797</v>
      </c>
      <c r="C263" s="84" t="s">
        <v>5798</v>
      </c>
      <c r="D263" s="86"/>
      <c r="E263" s="86"/>
      <c r="F263" s="86" t="s">
        <v>78</v>
      </c>
      <c r="G263" s="86" t="s">
        <v>79</v>
      </c>
      <c r="H263" s="86" t="s">
        <v>79</v>
      </c>
      <c r="I263" s="86" t="s">
        <v>49</v>
      </c>
    </row>
    <row r="264" spans="1:9" ht="56">
      <c r="A264" s="97">
        <v>233</v>
      </c>
      <c r="B264" s="83" t="s">
        <v>5799</v>
      </c>
      <c r="C264" s="84" t="s">
        <v>5800</v>
      </c>
      <c r="D264" s="86"/>
      <c r="E264" s="86"/>
      <c r="F264" s="86" t="s">
        <v>78</v>
      </c>
      <c r="G264" s="86" t="s">
        <v>79</v>
      </c>
      <c r="H264" s="86" t="s">
        <v>79</v>
      </c>
      <c r="I264" s="86" t="s">
        <v>49</v>
      </c>
    </row>
    <row r="265" spans="1:9" ht="42">
      <c r="A265" s="97">
        <v>234</v>
      </c>
      <c r="B265" s="83" t="s">
        <v>5797</v>
      </c>
      <c r="C265" s="84" t="s">
        <v>5801</v>
      </c>
      <c r="D265" s="86"/>
      <c r="E265" s="78" t="s">
        <v>4626</v>
      </c>
      <c r="F265" s="86" t="s">
        <v>78</v>
      </c>
      <c r="G265" s="86" t="s">
        <v>79</v>
      </c>
      <c r="H265" s="86" t="s">
        <v>79</v>
      </c>
      <c r="I265" s="86" t="s">
        <v>49</v>
      </c>
    </row>
    <row r="266" spans="1:9" ht="28">
      <c r="A266" s="97">
        <v>235</v>
      </c>
      <c r="B266" s="83" t="s">
        <v>5802</v>
      </c>
      <c r="C266" s="84" t="s">
        <v>5803</v>
      </c>
      <c r="D266" s="86"/>
      <c r="E266" s="78" t="s">
        <v>4626</v>
      </c>
      <c r="F266" s="86" t="s">
        <v>78</v>
      </c>
      <c r="G266" s="86" t="s">
        <v>79</v>
      </c>
      <c r="H266" s="86" t="s">
        <v>79</v>
      </c>
      <c r="I266" s="86" t="s">
        <v>49</v>
      </c>
    </row>
    <row r="267" spans="1:9" ht="42">
      <c r="A267" s="97">
        <v>236</v>
      </c>
      <c r="B267" s="83" t="s">
        <v>5804</v>
      </c>
      <c r="C267" s="84" t="s">
        <v>5805</v>
      </c>
      <c r="D267" s="86"/>
      <c r="E267" s="78" t="s">
        <v>4626</v>
      </c>
      <c r="F267" s="86" t="s">
        <v>78</v>
      </c>
      <c r="G267" s="86" t="s">
        <v>79</v>
      </c>
      <c r="H267" s="86" t="s">
        <v>79</v>
      </c>
      <c r="I267" s="86" t="s">
        <v>49</v>
      </c>
    </row>
    <row r="268" spans="1:9" ht="28">
      <c r="A268" s="97">
        <v>237</v>
      </c>
      <c r="B268" s="83" t="s">
        <v>5806</v>
      </c>
      <c r="C268" s="84" t="s">
        <v>5807</v>
      </c>
      <c r="D268" s="86"/>
      <c r="E268" s="86"/>
      <c r="F268" s="86" t="s">
        <v>78</v>
      </c>
      <c r="G268" s="87" t="s">
        <v>79</v>
      </c>
      <c r="H268" s="87" t="s">
        <v>80</v>
      </c>
      <c r="I268" s="87" t="s">
        <v>49</v>
      </c>
    </row>
    <row r="269" spans="1:9">
      <c r="E269" s="118" t="s">
        <v>95</v>
      </c>
      <c r="F269" s="42">
        <f>COUNTA(F262:F268)</f>
        <v>7</v>
      </c>
    </row>
  </sheetData>
  <sortState ref="A2:I235">
    <sortCondition ref="D2:D235"/>
  </sortState>
  <hyperlinks>
    <hyperlink ref="A203" r:id="rId1" display="http://www.westlaw.com/Find/Default.wl?rs=dfa1.0&amp;vr=2.0&amp;DB=6538&amp;FindType=Y&amp;SerialNum=2005201485"/>
    <hyperlink ref="A61" r:id="rId2" display="http://www.westlaw.com/Find/Default.wl?rs=dfa1.0&amp;vr=2.0&amp;DB=6538&amp;FindType=Y&amp;SerialNum=2005201489"/>
    <hyperlink ref="A62" r:id="rId3" display="http://www.westlaw.com/Find/Default.wl?rs=dfa1.0&amp;vr=2.0&amp;DB=6538&amp;FindType=Y&amp;SerialNum=2005201507"/>
    <hyperlink ref="A63" r:id="rId4" display="http://www.westlaw.com/Find/Default.wl?rs=dfa1.0&amp;vr=2.0&amp;DB=6538&amp;FindType=Y&amp;SerialNum=2005214476"/>
    <hyperlink ref="A204" r:id="rId5" display="http://www.westlaw.com/Find/Default.wl?rs=dfa1.0&amp;vr=2.0&amp;DB=6538&amp;FindType=Y&amp;SerialNum=2005214477"/>
    <hyperlink ref="A64" r:id="rId6" display="http://www.westlaw.com/Find/Default.wl?rs=dfa1.0&amp;vr=2.0&amp;DB=6538&amp;FindType=Y&amp;SerialNum=2005214478"/>
    <hyperlink ref="A65" r:id="rId7" display="http://www.westlaw.com/Find/Default.wl?rs=dfa1.0&amp;vr=2.0&amp;DB=6538&amp;FindType=Y&amp;SerialNum=2005214479"/>
    <hyperlink ref="A66" r:id="rId8" display="http://www.westlaw.com/Find/Default.wl?rs=dfa1.0&amp;vr=2.0&amp;DB=6538&amp;FindType=Y&amp;SerialNum=2005214480"/>
    <hyperlink ref="A67" r:id="rId9" display="http://www.westlaw.com/Find/Default.wl?rs=dfa1.0&amp;vr=2.0&amp;DB=6538&amp;FindType=Y&amp;SerialNum=2005214482"/>
    <hyperlink ref="A205" r:id="rId10" display="http://www.westlaw.com/Find/Default.wl?rs=dfa1.0&amp;vr=2.0&amp;DB=6538&amp;FindType=Y&amp;SerialNum=2005214485"/>
    <hyperlink ref="A68" r:id="rId11" display="http://www.westlaw.com/Find/Default.wl?rs=dfa1.0&amp;vr=2.0&amp;DB=6538&amp;FindType=Y&amp;SerialNum=2005214487"/>
    <hyperlink ref="A206" r:id="rId12" display="http://www.westlaw.com/Find/Default.wl?rs=dfa1.0&amp;vr=2.0&amp;DB=6538&amp;FindType=Y&amp;SerialNum=2005214490"/>
    <hyperlink ref="A69" r:id="rId13" display="http://www.westlaw.com/Find/Default.wl?rs=dfa1.0&amp;vr=2.0&amp;DB=6538&amp;FindType=Y&amp;SerialNum=2005214483"/>
    <hyperlink ref="A23" r:id="rId14" display="http://www.westlaw.com/Find/Default.wl?rs=dfa1.0&amp;vr=2.0&amp;DB=506&amp;FindType=Y&amp;SerialNum=2005139857"/>
    <hyperlink ref="A70" r:id="rId15" display="http://www.westlaw.com/Find/Default.wl?rs=dfa1.0&amp;vr=2.0&amp;DB=6538&amp;FindType=Y&amp;SerialNum=2005213185"/>
    <hyperlink ref="A71" r:id="rId16" display="http://www.westlaw.com/Find/Default.wl?rs=dfa1.0&amp;vr=2.0&amp;DB=6538&amp;FindType=Y&amp;SerialNum=2005213186"/>
    <hyperlink ref="A72" r:id="rId17" display="http://www.westlaw.com/Find/Default.wl?rs=dfa1.0&amp;vr=2.0&amp;DB=6538&amp;FindType=Y&amp;SerialNum=2005213187"/>
    <hyperlink ref="A73" r:id="rId18" display="http://www.westlaw.com/Find/Default.wl?rs=dfa1.0&amp;vr=2.0&amp;DB=506&amp;FindType=Y&amp;SerialNum=2005138357"/>
    <hyperlink ref="A74" r:id="rId19" display="http://www.westlaw.com/Find/Default.wl?rs=dfa1.0&amp;vr=2.0&amp;DB=6538&amp;FindType=Y&amp;SerialNum=2005170487"/>
    <hyperlink ref="A207" r:id="rId20" display="http://www.westlaw.com/Find/Default.wl?rs=dfa1.0&amp;vr=2.0&amp;DB=6538&amp;FindType=Y&amp;SerialNum=2005213207"/>
    <hyperlink ref="A208" r:id="rId21" display="http://www.westlaw.com/Find/Default.wl?rs=dfa1.0&amp;vr=2.0&amp;DB=6538&amp;FindType=Y&amp;SerialNum=2005213208"/>
    <hyperlink ref="A75" r:id="rId22" display="http://www.westlaw.com/Find/Default.wl?rs=dfa1.0&amp;vr=2.0&amp;DB=506&amp;FindType=Y&amp;SerialNum=2004989178"/>
    <hyperlink ref="A76" r:id="rId23" display="http://www.westlaw.com/Find/Default.wl?rs=dfa1.0&amp;vr=2.0&amp;DB=506&amp;FindType=Y&amp;SerialNum=2004975273"/>
    <hyperlink ref="A24" r:id="rId24" display="http://www.westlaw.com/Find/Default.wl?rs=dfa1.0&amp;vr=2.0&amp;DB=506&amp;FindType=Y&amp;SerialNum=2004947393"/>
    <hyperlink ref="A77" r:id="rId25" display="http://www.westlaw.com/Find/Default.wl?rs=dfa1.0&amp;vr=2.0&amp;DB=6538&amp;FindType=Y&amp;SerialNum=2004909025"/>
    <hyperlink ref="A25" r:id="rId26" display="http://www.westlaw.com/Find/Default.wl?rs=dfa1.0&amp;vr=2.0&amp;DB=506&amp;FindType=Y&amp;SerialNum=2004902146"/>
    <hyperlink ref="A26" r:id="rId27" display="http://www.westlaw.com/Find/Default.wl?rs=dfa1.0&amp;vr=2.0&amp;DB=506&amp;FindType=Y&amp;SerialNum=2004902149"/>
    <hyperlink ref="A27" r:id="rId28" display="http://www.westlaw.com/Find/Default.wl?rs=dfa1.0&amp;vr=2.0&amp;DB=506&amp;FindType=Y&amp;SerialNum=2004902153"/>
    <hyperlink ref="A78" r:id="rId29" display="http://www.westlaw.com/Find/Default.wl?rs=dfa1.0&amp;vr=2.0&amp;DB=6538&amp;FindType=Y&amp;SerialNum=2004889095"/>
    <hyperlink ref="A28" r:id="rId30" display="http://www.westlaw.com/Find/Default.wl?rs=dfa1.0&amp;vr=2.0&amp;DB=506&amp;FindType=Y&amp;SerialNum=2004838760"/>
    <hyperlink ref="A79" r:id="rId31" display="http://www.westlaw.com/Find/Default.wl?rs=dfa1.0&amp;vr=2.0&amp;DB=6538&amp;FindType=Y&amp;SerialNum=2004825443"/>
    <hyperlink ref="A209" r:id="rId32" display="http://www.westlaw.com/Find/Default.wl?rs=dfa1.0&amp;vr=2.0&amp;DB=6538&amp;FindType=Y&amp;SerialNum=2004809028"/>
    <hyperlink ref="A29" r:id="rId33" display="http://www.westlaw.com/Find/Default.wl?rs=dfa1.0&amp;vr=2.0&amp;DB=506&amp;FindType=Y&amp;SerialNum=2004779749"/>
    <hyperlink ref="A80" r:id="rId34" display="http://www.westlaw.com/Find/Default.wl?rs=dfa1.0&amp;vr=2.0&amp;DB=506&amp;FindType=Y&amp;SerialNum=2004779751"/>
    <hyperlink ref="A81" r:id="rId35" display="http://www.westlaw.com/Find/Default.wl?rs=dfa1.0&amp;vr=2.0&amp;DB=506&amp;FindType=Y&amp;SerialNum=2004763825"/>
    <hyperlink ref="A210" r:id="rId36" display="http://www.westlaw.com/Find/Default.wl?rs=dfa1.0&amp;vr=2.0&amp;DB=6538&amp;FindType=Y&amp;SerialNum=2004763992"/>
    <hyperlink ref="A211" r:id="rId37" display="http://www.westlaw.com/Find/Default.wl?rs=dfa1.0&amp;vr=2.0&amp;DB=6538&amp;FindType=Y&amp;SerialNum=2004763994"/>
    <hyperlink ref="A82" r:id="rId38" display="http://www.westlaw.com/Find/Default.wl?rs=dfa1.0&amp;vr=2.0&amp;DB=6538&amp;FindType=Y&amp;SerialNum=2004749099"/>
    <hyperlink ref="A30" r:id="rId39" display="http://www.westlaw.com/Find/Default.wl?rs=dfa1.0&amp;vr=2.0&amp;DB=506&amp;FindType=Y&amp;SerialNum=2004734254"/>
    <hyperlink ref="A83" r:id="rId40" display="http://www.westlaw.com/Find/Default.wl?rs=dfa1.0&amp;vr=2.0&amp;DB=6538&amp;FindType=Y&amp;SerialNum=2004738425"/>
    <hyperlink ref="A84" r:id="rId41" display="http://www.westlaw.com/Find/Default.wl?rs=dfa1.0&amp;vr=2.0&amp;DB=6538&amp;FindType=Y&amp;SerialNum=2004731195"/>
    <hyperlink ref="A85" r:id="rId42" display="http://www.westlaw.com/Find/Default.wl?rs=dfa1.0&amp;vr=2.0&amp;DB=6538&amp;FindType=Y&amp;SerialNum=2004731221"/>
    <hyperlink ref="A86" r:id="rId43" display="http://www.westlaw.com/Find/Default.wl?rs=dfa1.0&amp;vr=2.0&amp;DB=6538&amp;FindType=Y&amp;SerialNum=2004709290"/>
    <hyperlink ref="A87" r:id="rId44" display="http://www.westlaw.com/Find/Default.wl?rs=dfa1.0&amp;vr=2.0&amp;DB=6538&amp;FindType=Y&amp;SerialNum=2004709291"/>
    <hyperlink ref="A88" r:id="rId45" display="http://www.westlaw.com/Find/Default.wl?rs=dfa1.0&amp;vr=2.0&amp;DB=6538&amp;FindType=Y&amp;SerialNum=2004709295"/>
    <hyperlink ref="A31" r:id="rId46" display="http://www.westlaw.com/Find/Default.wl?rs=dfa1.0&amp;vr=2.0&amp;DB=506&amp;FindType=Y&amp;SerialNum=2004650043"/>
    <hyperlink ref="A212" r:id="rId47" display="http://www.westlaw.com/Find/Default.wl?rs=dfa1.0&amp;vr=2.0&amp;DB=6538&amp;FindType=Y&amp;SerialNum=2005478846"/>
    <hyperlink ref="A213" r:id="rId48" display="http://www.westlaw.com/Find/Default.wl?rs=dfa1.0&amp;vr=2.0&amp;DB=6538&amp;FindType=Y&amp;SerialNum=2005478847"/>
    <hyperlink ref="A89" r:id="rId49" display="http://www.westlaw.com/Find/Default.wl?rs=dfa1.0&amp;vr=2.0&amp;DB=6538&amp;FindType=Y&amp;SerialNum=2004636798"/>
    <hyperlink ref="A214" r:id="rId50" display="http://www.westlaw.com/Find/Default.wl?rs=dfa1.0&amp;vr=2.0&amp;DB=6538&amp;FindType=Y&amp;SerialNum=2004632449"/>
    <hyperlink ref="A32" r:id="rId51" display="http://www.westlaw.com/Find/Default.wl?rs=dfa1.0&amp;vr=2.0&amp;DB=506&amp;FindType=Y&amp;SerialNum=2004630234"/>
    <hyperlink ref="A90" r:id="rId52" display="http://www.westlaw.com/Find/Default.wl?rs=dfa1.0&amp;vr=2.0&amp;DB=506&amp;FindType=Y&amp;SerialNum=2004621419"/>
    <hyperlink ref="A91" r:id="rId53" display="http://www.westlaw.com/Find/Default.wl?rs=dfa1.0&amp;vr=2.0&amp;DB=506&amp;FindType=Y&amp;SerialNum=2004615997"/>
    <hyperlink ref="A92" r:id="rId54" display="http://www.westlaw.com/Find/Default.wl?rs=dfa1.0&amp;vr=2.0&amp;DB=6538&amp;FindType=Y&amp;SerialNum=2004616230"/>
    <hyperlink ref="A93" r:id="rId55" display="http://www.westlaw.com/Find/Default.wl?rs=dfa1.0&amp;vr=2.0&amp;DB=506&amp;FindType=Y&amp;SerialNum=2004611478"/>
    <hyperlink ref="A94" r:id="rId56" display="http://www.westlaw.com/Find/Default.wl?rs=dfa1.0&amp;vr=2.0&amp;DB=506&amp;FindType=Y&amp;SerialNum=2004607807"/>
    <hyperlink ref="A33" r:id="rId57" display="http://www.westlaw.com/Find/Default.wl?rs=dfa1.0&amp;vr=2.0&amp;DB=506&amp;FindType=Y&amp;SerialNum=2004599913"/>
    <hyperlink ref="A95" r:id="rId58" display="http://www.westlaw.com/Find/Default.wl?rs=dfa1.0&amp;vr=2.0&amp;DB=506&amp;FindType=Y&amp;SerialNum=2004591021"/>
    <hyperlink ref="A96" r:id="rId59" display="http://www.westlaw.com/Find/Default.wl?rs=dfa1.0&amp;vr=2.0&amp;DB=506&amp;FindType=Y&amp;SerialNum=2004583354"/>
    <hyperlink ref="A97" r:id="rId60" display="http://www.westlaw.com/Find/Default.wl?rs=dfa1.0&amp;vr=2.0&amp;DB=506&amp;FindType=Y&amp;SerialNum=2004565002"/>
    <hyperlink ref="A34" r:id="rId61" display="http://www.westlaw.com/Find/Default.wl?rs=dfa1.0&amp;vr=2.0&amp;DB=6538&amp;FindType=Y&amp;SerialNum=2004577796"/>
    <hyperlink ref="A56" r:id="rId62" display="http://www.westlaw.com/Find/Default.wl?rs=dfa1.0&amp;vr=2.0&amp;DB=506&amp;FindType=Y&amp;SerialNum=2004560117"/>
    <hyperlink ref="A215" r:id="rId63" display="http://www.westlaw.com/Find/Default.wl?rs=dfa1.0&amp;vr=2.0&amp;DB=6538&amp;FindType=Y&amp;SerialNum=2004560229"/>
    <hyperlink ref="A35" r:id="rId64" display="http://www.westlaw.com/Find/Default.wl?rs=dfa1.0&amp;vr=2.0&amp;DB=506&amp;FindType=Y&amp;SerialNum=2004548764"/>
    <hyperlink ref="A98" r:id="rId65" display="http://www.westlaw.com/Find/Default.wl?rs=dfa1.0&amp;vr=2.0&amp;DB=6538&amp;FindType=Y&amp;SerialNum=2004547962"/>
    <hyperlink ref="A99" r:id="rId66" display="http://www.westlaw.com/Find/Default.wl?rs=dfa1.0&amp;vr=2.0&amp;DB=506&amp;FindType=Y&amp;SerialNum=2004508415"/>
    <hyperlink ref="A49" r:id="rId67" display="http://www.westlaw.com/Find/Default.wl?rs=dfa1.0&amp;vr=2.0&amp;DB=506&amp;FindType=Y&amp;SerialNum=2004496621"/>
    <hyperlink ref="A57" r:id="rId68" display="http://www.westlaw.com/Find/Default.wl?rs=dfa1.0&amp;vr=2.0&amp;DB=506&amp;FindType=Y&amp;SerialNum=2004493580"/>
    <hyperlink ref="A100" r:id="rId69" display="http://www.westlaw.com/Find/Default.wl?rs=dfa1.0&amp;vr=2.0&amp;DB=6538&amp;FindType=Y&amp;SerialNum=2004504609"/>
    <hyperlink ref="A36" r:id="rId70" display="http://www.westlaw.com/Find/Default.wl?rs=dfa1.0&amp;vr=2.0&amp;DB=506&amp;FindType=Y&amp;SerialNum=2004468615"/>
    <hyperlink ref="A216" r:id="rId71" display="http://www.westlaw.com/Find/Default.wl?rs=dfa1.0&amp;vr=2.0&amp;DB=6538&amp;FindType=Y&amp;SerialNum=2004469186"/>
    <hyperlink ref="A50" r:id="rId72" display="http://www.westlaw.com/Find/Default.wl?rs=dfa1.0&amp;vr=2.0&amp;DB=506&amp;FindType=Y&amp;SerialNum=2004461342"/>
    <hyperlink ref="A217" r:id="rId73" display="http://www.westlaw.com/Find/Default.wl?rs=dfa1.0&amp;vr=2.0&amp;DB=6538&amp;FindType=Y&amp;SerialNum=2004465367"/>
    <hyperlink ref="A101" r:id="rId74" display="http://www.westlaw.com/Find/Default.wl?rs=dfa1.0&amp;vr=2.0&amp;DB=6538&amp;FindType=Y&amp;SerialNum=2004426257"/>
    <hyperlink ref="A102" r:id="rId75" display="http://www.westlaw.com/Find/Default.wl?rs=dfa1.0&amp;vr=2.0&amp;DB=6538&amp;FindType=Y&amp;SerialNum=2004413564"/>
    <hyperlink ref="A218" r:id="rId76" display="http://www.westlaw.com/Find/Default.wl?rs=dfa1.0&amp;vr=2.0&amp;DB=6538&amp;FindType=Y&amp;SerialNum=2004376755"/>
    <hyperlink ref="A103" r:id="rId77" display="http://www.westlaw.com/Find/Default.wl?rs=dfa1.0&amp;vr=2.0&amp;DB=506&amp;FindType=Y&amp;SerialNum=2004374197"/>
    <hyperlink ref="A219" r:id="rId78" display="http://www.westlaw.com/Find/Default.wl?rs=dfa1.0&amp;vr=2.0&amp;DB=6538&amp;FindType=Y&amp;SerialNum=2004376754"/>
    <hyperlink ref="A104" r:id="rId79" display="http://www.westlaw.com/Find/Default.wl?rs=dfa1.0&amp;vr=2.0&amp;DB=6538&amp;FindType=Y&amp;SerialNum=2004374337"/>
    <hyperlink ref="A105" r:id="rId80" display="http://www.westlaw.com/Find/Default.wl?rs=dfa1.0&amp;vr=2.0&amp;DB=6538&amp;FindType=Y&amp;SerialNum=2004369445"/>
    <hyperlink ref="A220" r:id="rId81" display="http://www.westlaw.com/Find/Default.wl?rs=dfa1.0&amp;vr=2.0&amp;DB=6538&amp;FindType=Y&amp;SerialNum=2004369446"/>
    <hyperlink ref="A106" r:id="rId82" display="http://www.westlaw.com/Find/Default.wl?rs=dfa1.0&amp;vr=2.0&amp;DB=6538&amp;FindType=Y&amp;SerialNum=2004369450"/>
    <hyperlink ref="A107" r:id="rId83" display="http://www.westlaw.com/Find/Default.wl?rs=dfa1.0&amp;vr=2.0&amp;DB=6538&amp;FindType=Y&amp;SerialNum=2004364737"/>
    <hyperlink ref="A221" r:id="rId84" display="http://www.westlaw.com/Find/Default.wl?rs=dfa1.0&amp;vr=2.0&amp;DB=6538&amp;FindType=Y&amp;SerialNum=2004367135"/>
    <hyperlink ref="A222" r:id="rId85" display="http://www.westlaw.com/Find/Default.wl?rs=dfa1.0&amp;vr=2.0&amp;DB=6538&amp;FindType=Y&amp;SerialNum=2004462975"/>
    <hyperlink ref="A108" r:id="rId86" display="http://www.westlaw.com/Find/Default.wl?rs=dfa1.0&amp;vr=2.0&amp;DB=6538&amp;FindType=Y&amp;SerialNum=2004364739"/>
    <hyperlink ref="A109" r:id="rId87" display="http://www.westlaw.com/Find/Default.wl?rs=dfa1.0&amp;vr=2.0&amp;DB=6538&amp;FindType=Y&amp;SerialNum=2004341814"/>
    <hyperlink ref="A110" r:id="rId88" display="http://www.westlaw.com/Find/Default.wl?rs=dfa1.0&amp;vr=2.0&amp;DB=6538&amp;FindType=Y&amp;SerialNum=2004344477"/>
    <hyperlink ref="A223" r:id="rId89" display="http://www.westlaw.com/Find/Default.wl?rs=dfa1.0&amp;vr=2.0&amp;DB=6538&amp;FindType=Y&amp;SerialNum=2004340588"/>
    <hyperlink ref="A224" r:id="rId90" display="http://www.westlaw.com/Find/Default.wl?rs=dfa1.0&amp;vr=2.0&amp;DB=6538&amp;FindType=Y&amp;SerialNum=2004341597"/>
    <hyperlink ref="A111" r:id="rId91" display="http://www.westlaw.com/Find/Default.wl?rs=dfa1.0&amp;vr=2.0&amp;DB=6538&amp;FindType=Y&amp;SerialNum=2004341598"/>
    <hyperlink ref="A112" r:id="rId92" display="http://www.westlaw.com/Find/Default.wl?rs=dfa1.0&amp;vr=2.0&amp;DB=6538&amp;FindType=Y&amp;SerialNum=2004340590"/>
    <hyperlink ref="A113" r:id="rId93" display="http://www.westlaw.com/Find/Default.wl?rs=dfa1.0&amp;vr=2.0&amp;DB=6538&amp;FindType=Y&amp;SerialNum=2004332335"/>
    <hyperlink ref="A114" r:id="rId94" display="http://www.westlaw.com/Find/Default.wl?rs=dfa1.0&amp;vr=2.0&amp;DB=6538&amp;FindType=Y&amp;SerialNum=2004332336"/>
    <hyperlink ref="A115" r:id="rId95" display="http://www.westlaw.com/Find/Default.wl?rs=dfa1.0&amp;vr=2.0&amp;DB=6538&amp;FindType=Y&amp;SerialNum=2004332342"/>
    <hyperlink ref="A116" r:id="rId96" display="http://www.westlaw.com/Find/Default.wl?rs=dfa1.0&amp;vr=2.0&amp;DB=6538&amp;FindType=Y&amp;SerialNum=2004327334"/>
    <hyperlink ref="A117" r:id="rId97" display="http://www.westlaw.com/Find/Default.wl?rs=dfa1.0&amp;vr=2.0&amp;DB=6538&amp;FindType=Y&amp;SerialNum=2004327338"/>
    <hyperlink ref="A118" r:id="rId98" display="http://www.westlaw.com/Find/Default.wl?rs=dfa1.0&amp;vr=2.0&amp;DB=506&amp;FindType=Y&amp;SerialNum=2004330357"/>
    <hyperlink ref="A119" r:id="rId99" display="http://www.westlaw.com/Find/Default.wl?rs=dfa1.0&amp;vr=2.0&amp;DB=6538&amp;FindType=Y&amp;SerialNum=2004332350"/>
    <hyperlink ref="A120" r:id="rId100" display="http://www.westlaw.com/Find/Default.wl?rs=dfa1.0&amp;vr=2.0&amp;DB=6538&amp;FindType=Y&amp;SerialNum=2004327339"/>
    <hyperlink ref="A121" r:id="rId101" display="http://www.westlaw.com/Find/Default.wl?rs=dfa1.0&amp;vr=2.0&amp;DB=6538&amp;FindType=Y&amp;SerialNum=2004313330"/>
    <hyperlink ref="A122" r:id="rId102" display="http://www.westlaw.com/Find/Default.wl?rs=dfa1.0&amp;vr=2.0&amp;DB=6538&amp;FindType=Y&amp;SerialNum=2004313331"/>
    <hyperlink ref="A123" r:id="rId103" display="http://www.westlaw.com/Find/Default.wl?rs=dfa1.0&amp;vr=2.0&amp;DB=506&amp;FindType=Y&amp;SerialNum=2004301733"/>
    <hyperlink ref="A124" r:id="rId104" display="http://www.westlaw.com/Find/Default.wl?rs=dfa1.0&amp;vr=2.0&amp;DB=506&amp;FindType=Y&amp;SerialNum=2004301751"/>
    <hyperlink ref="A125" r:id="rId105" display="http://www.westlaw.com/Find/Default.wl?rs=dfa1.0&amp;vr=2.0&amp;DB=6538&amp;FindType=Y&amp;SerialNum=2004304091"/>
    <hyperlink ref="A225" r:id="rId106" display="http://www.westlaw.com/Find/Default.wl?rs=dfa1.0&amp;vr=2.0&amp;DB=6538&amp;FindType=Y&amp;SerialNum=2004308143"/>
    <hyperlink ref="A226" r:id="rId107" display="http://www.westlaw.com/Find/Default.wl?rs=dfa1.0&amp;vr=2.0&amp;DB=6538&amp;FindType=Y&amp;SerialNum=2004308147"/>
    <hyperlink ref="A227" r:id="rId108" display="http://www.westlaw.com/Find/Default.wl?rs=dfa1.0&amp;vr=2.0&amp;DB=6538&amp;FindType=Y&amp;SerialNum=2004308148"/>
    <hyperlink ref="A228" r:id="rId109" display="http://www.westlaw.com/Find/Default.wl?rs=dfa1.0&amp;vr=2.0&amp;DB=6538&amp;FindType=Y&amp;SerialNum=2004308150"/>
    <hyperlink ref="A229" r:id="rId110" display="http://www.westlaw.com/Find/Default.wl?rs=dfa1.0&amp;vr=2.0&amp;DB=6538&amp;FindType=Y&amp;SerialNum=2004308151"/>
    <hyperlink ref="A37" r:id="rId111" display="http://www.westlaw.com/Find/Default.wl?rs=dfa1.0&amp;vr=2.0&amp;DB=506&amp;FindType=Y&amp;SerialNum=2004294213"/>
    <hyperlink ref="A126" r:id="rId112" display="http://www.westlaw.com/Find/Default.wl?rs=dfa1.0&amp;vr=2.0&amp;DB=6538&amp;FindType=Y&amp;SerialNum=2004296165"/>
    <hyperlink ref="A127" r:id="rId113" display="http://www.westlaw.com/Find/Default.wl?rs=dfa1.0&amp;vr=2.0&amp;DB=6538&amp;FindType=Y&amp;SerialNum=2004248509"/>
    <hyperlink ref="A128" r:id="rId114" display="http://www.westlaw.com/Find/Default.wl?rs=dfa1.0&amp;vr=2.0&amp;DB=506&amp;FindType=Y&amp;SerialNum=2004244847"/>
    <hyperlink ref="A129" r:id="rId115" display="http://www.westlaw.com/Find/Default.wl?rs=dfa1.0&amp;vr=2.0&amp;DB=6538&amp;FindType=Y&amp;SerialNum=2004248511"/>
    <hyperlink ref="A130" r:id="rId116" display="http://www.westlaw.com/Find/Default.wl?rs=dfa1.0&amp;vr=2.0&amp;DB=6538&amp;FindType=Y&amp;SerialNum=2004248512"/>
    <hyperlink ref="A58" r:id="rId117" display="http://www.westlaw.com/Find/Default.wl?rs=dfa1.0&amp;vr=2.0&amp;DB=506&amp;FindType=Y&amp;SerialNum=2004238857"/>
    <hyperlink ref="A131" r:id="rId118" display="http://www.westlaw.com/Find/Default.wl?rs=dfa1.0&amp;vr=2.0&amp;DB=6538&amp;FindType=Y&amp;SerialNum=2004242092"/>
    <hyperlink ref="A132" r:id="rId119" display="http://www.westlaw.com/Find/Default.wl?rs=dfa1.0&amp;vr=2.0&amp;DB=6538&amp;FindType=Y&amp;SerialNum=2004242093"/>
    <hyperlink ref="A230" r:id="rId120" display="http://www.westlaw.com/Find/Default.wl?rs=dfa1.0&amp;vr=2.0&amp;DB=6538&amp;FindType=Y&amp;SerialNum=2004228981"/>
    <hyperlink ref="A38" r:id="rId121" display="http://www.westlaw.com/Find/Default.wl?rs=dfa1.0&amp;vr=2.0&amp;DB=506&amp;FindType=Y&amp;SerialNum=2004229305"/>
    <hyperlink ref="A231" r:id="rId122" display="http://www.westlaw.com/Find/Default.wl?rs=dfa1.0&amp;vr=2.0&amp;DB=6538&amp;FindType=Y&amp;SerialNum=2004223941"/>
    <hyperlink ref="A20" r:id="rId123" display="http://www.westlaw.com/Find/Default.wl?rs=dfa1.0&amp;vr=2.0&amp;DB=506&amp;FindType=Y&amp;SerialNum=2004211903"/>
    <hyperlink ref="A133" r:id="rId124" display="http://www.westlaw.com/Find/Default.wl?rs=dfa1.0&amp;vr=2.0&amp;DB=506&amp;FindType=Y&amp;SerialNum=2004220367"/>
    <hyperlink ref="A232" r:id="rId125" display="http://www.westlaw.com/Find/Default.wl?rs=dfa1.0&amp;vr=2.0&amp;DB=6538&amp;FindType=Y&amp;SerialNum=2004202757"/>
    <hyperlink ref="A134" r:id="rId126" display="http://www.westlaw.com/Find/Default.wl?rs=dfa1.0&amp;vr=2.0&amp;DB=6538&amp;FindType=Y&amp;SerialNum=2004202753"/>
    <hyperlink ref="A135" r:id="rId127" display="http://www.westlaw.com/Find/Default.wl?rs=dfa1.0&amp;vr=2.0&amp;DB=506&amp;FindType=Y&amp;SerialNum=2004179931"/>
    <hyperlink ref="A136" r:id="rId128" display="http://www.westlaw.com/Find/Default.wl?rs=dfa1.0&amp;vr=2.0&amp;DB=6538&amp;FindType=Y&amp;SerialNum=2004189892"/>
    <hyperlink ref="A233" r:id="rId129" display="http://www.westlaw.com/Find/Default.wl?rs=dfa1.0&amp;vr=2.0&amp;DB=6538&amp;FindType=Y&amp;SerialNum=2004172239"/>
    <hyperlink ref="A234" r:id="rId130" display="http://www.westlaw.com/Find/Default.wl?rs=dfa1.0&amp;vr=2.0&amp;DB=6538&amp;FindType=Y&amp;SerialNum=2004189889"/>
    <hyperlink ref="A137" r:id="rId131" display="http://www.westlaw.com/Find/Default.wl?rs=dfa1.0&amp;vr=2.0&amp;DB=6538&amp;FindType=Y&amp;SerialNum=2004171982"/>
    <hyperlink ref="A138" r:id="rId132" display="http://www.westlaw.com/Find/Default.wl?rs=dfa1.0&amp;vr=2.0&amp;DB=6538&amp;FindType=Y&amp;SerialNum=2004168933"/>
    <hyperlink ref="A39" r:id="rId133" display="http://www.westlaw.com/Find/Default.wl?rs=dfa1.0&amp;vr=2.0&amp;DB=506&amp;FindType=Y&amp;SerialNum=2004150192"/>
    <hyperlink ref="A235" r:id="rId134" display="http://www.westlaw.com/Find/Default.wl?rs=dfa1.0&amp;vr=2.0&amp;DB=6538&amp;FindType=Y&amp;SerialNum=2004152428"/>
    <hyperlink ref="A236" r:id="rId135" display="http://www.westlaw.com/Find/Default.wl?rs=dfa1.0&amp;vr=2.0&amp;DB=6538&amp;FindType=Y&amp;SerialNum=2004168934"/>
    <hyperlink ref="A139" r:id="rId136" display="http://www.westlaw.com/Find/Default.wl?rs=dfa1.0&amp;vr=2.0&amp;DB=6538&amp;FindType=Y&amp;SerialNum=2004151063"/>
    <hyperlink ref="A237" r:id="rId137" display="http://www.westlaw.com/Find/Default.wl?rs=dfa1.0&amp;vr=2.0&amp;DB=6538&amp;FindType=Y&amp;SerialNum=2004128704"/>
    <hyperlink ref="A40" r:id="rId138" display="http://www.westlaw.com/Find/Default.wl?rs=dfa1.0&amp;vr=2.0&amp;DB=6538&amp;FindType=Y&amp;SerialNum=2004136309"/>
    <hyperlink ref="A140" r:id="rId139" display="http://www.westlaw.com/Find/Default.wl?rs=dfa1.0&amp;vr=2.0&amp;DB=6538&amp;FindType=Y&amp;SerialNum=2004121769"/>
    <hyperlink ref="A141" r:id="rId140" display="http://www.westlaw.com/Find/Default.wl?rs=dfa1.0&amp;vr=2.0&amp;DB=506&amp;FindType=Y&amp;SerialNum=2004118341"/>
    <hyperlink ref="A238" r:id="rId141" display="http://www.westlaw.com/Find/Default.wl?rs=dfa1.0&amp;vr=2.0&amp;DB=6538&amp;FindType=Y&amp;SerialNum=2004118906"/>
    <hyperlink ref="A142" r:id="rId142" display="http://www.westlaw.com/Find/Default.wl?rs=dfa1.0&amp;vr=2.0&amp;DB=6538&amp;FindType=Y&amp;SerialNum=2004119394"/>
    <hyperlink ref="A239" r:id="rId143" display="http://www.westlaw.com/Find/Default.wl?rs=dfa1.0&amp;vr=2.0&amp;DB=6538&amp;FindType=Y&amp;SerialNum=2004119395"/>
    <hyperlink ref="A143" r:id="rId144" display="http://www.westlaw.com/Find/Default.wl?rs=dfa1.0&amp;vr=2.0&amp;DB=6538&amp;FindType=Y&amp;SerialNum=2004119398"/>
    <hyperlink ref="A144" r:id="rId145" display="http://www.westlaw.com/Find/Default.wl?rs=dfa1.0&amp;vr=2.0&amp;DB=6538&amp;FindType=Y&amp;SerialNum=2004119399"/>
    <hyperlink ref="A240" r:id="rId146" display="http://www.westlaw.com/Find/Default.wl?rs=dfa1.0&amp;vr=2.0&amp;DB=6538&amp;FindType=Y&amp;SerialNum=2004103173"/>
    <hyperlink ref="A145" r:id="rId147" display="http://www.westlaw.com/Find/Default.wl?rs=dfa1.0&amp;vr=2.0&amp;DB=6538&amp;FindType=Y&amp;SerialNum=2004102499"/>
    <hyperlink ref="A146" r:id="rId148" display="http://www.westlaw.com/Find/Default.wl?rs=dfa1.0&amp;vr=2.0&amp;DB=506&amp;FindType=Y&amp;SerialNum=2004093008"/>
    <hyperlink ref="A147" r:id="rId149" display="http://www.westlaw.com/Find/Default.wl?rs=dfa1.0&amp;vr=2.0&amp;DB=6538&amp;FindType=Y&amp;SerialNum=2004102500"/>
    <hyperlink ref="A148" r:id="rId150" display="http://www.westlaw.com/Find/Default.wl?rs=dfa1.0&amp;vr=2.0&amp;DB=506&amp;FindType=Y&amp;SerialNum=2004080906"/>
    <hyperlink ref="A241" r:id="rId151" display="http://www.westlaw.com/Find/Default.wl?rs=dfa1.0&amp;vr=2.0&amp;DB=6538&amp;FindType=Y&amp;SerialNum=2004080911"/>
    <hyperlink ref="A242" r:id="rId152" display="http://www.westlaw.com/Find/Default.wl?rs=dfa1.0&amp;vr=2.0&amp;DB=6538&amp;FindType=Y&amp;SerialNum=2004080395"/>
    <hyperlink ref="A243" r:id="rId153" display="http://www.westlaw.com/Find/Default.wl?rs=dfa1.0&amp;vr=2.0&amp;DB=6538&amp;FindType=Y&amp;SerialNum=2004117661"/>
    <hyperlink ref="A149" r:id="rId154" display="http://www.westlaw.com/Find/Default.wl?rs=dfa1.0&amp;vr=2.0&amp;DB=6538&amp;FindType=Y&amp;SerialNum=2004151075"/>
    <hyperlink ref="A41" r:id="rId155" display="http://www.westlaw.com/Find/Default.wl?rs=dfa1.0&amp;vr=2.0&amp;DB=506&amp;FindType=Y&amp;SerialNum=2004066343"/>
    <hyperlink ref="A150" r:id="rId156" display="http://www.westlaw.com/Find/Default.wl?rs=dfa1.0&amp;vr=2.0&amp;DB=6538&amp;FindType=Y&amp;SerialNum=2004057440"/>
    <hyperlink ref="A151" r:id="rId157" display="http://www.westlaw.com/Find/Default.wl?rs=dfa1.0&amp;vr=2.0&amp;DB=6538&amp;FindType=Y&amp;SerialNum=2004052364"/>
    <hyperlink ref="A152" r:id="rId158" display="http://www.westlaw.com/Find/Default.wl?rs=dfa1.0&amp;vr=2.0&amp;DB=6538&amp;FindType=Y&amp;SerialNum=2004058958"/>
    <hyperlink ref="A153" r:id="rId159" display="http://www.westlaw.com/Find/Default.wl?rs=dfa1.0&amp;vr=2.0&amp;DB=6538&amp;FindType=Y&amp;SerialNum=2004058004"/>
    <hyperlink ref="A154" r:id="rId160" display="http://www.westlaw.com/Find/Default.wl?rs=dfa1.0&amp;vr=2.0&amp;DB=6538&amp;FindType=Y&amp;SerialNum=2004058957"/>
    <hyperlink ref="A244" r:id="rId161" display="http://www.westlaw.com/Find/Default.wl?rs=dfa1.0&amp;vr=2.0&amp;DB=6538&amp;FindType=Y&amp;SerialNum=2004042901"/>
    <hyperlink ref="A155" r:id="rId162" display="http://www.westlaw.com/Find/Default.wl?rs=dfa1.0&amp;vr=2.0&amp;DB=6538&amp;FindType=Y&amp;SerialNum=2004042099"/>
    <hyperlink ref="A245" r:id="rId163" display="http://www.westlaw.com/Find/Default.wl?rs=dfa1.0&amp;vr=2.0&amp;DB=6538&amp;FindType=Y&amp;SerialNum=2004064164"/>
    <hyperlink ref="A156" r:id="rId164" display="http://www.westlaw.com/Find/Default.wl?rs=dfa1.0&amp;vr=2.0&amp;DB=6538&amp;FindType=Y&amp;SerialNum=2003939954"/>
    <hyperlink ref="A246" r:id="rId165" display="http://www.westlaw.com/Find/Default.wl?rs=dfa1.0&amp;vr=2.0&amp;DB=6538&amp;FindType=Y&amp;SerialNum=2003937967"/>
    <hyperlink ref="A157" r:id="rId166" display="http://www.westlaw.com/Find/Default.wl?rs=dfa1.0&amp;vr=2.0&amp;DB=6538&amp;FindType=Y&amp;SerialNum=2003937972"/>
    <hyperlink ref="A247" r:id="rId167" display="http://www.westlaw.com/Find/Default.wl?rs=dfa1.0&amp;vr=2.0&amp;DB=6538&amp;FindType=Y&amp;SerialNum=2003937973"/>
    <hyperlink ref="A52" r:id="rId168" display="http://www.westlaw.com/Find/Default.wl?rs=dfa1.0&amp;vr=2.0&amp;DB=506&amp;FindType=Y&amp;SerialNum=2003938751"/>
    <hyperlink ref="A158" r:id="rId169" display="http://www.westlaw.com/Find/Default.wl?rs=dfa1.0&amp;vr=2.0&amp;DB=6538&amp;FindType=Y&amp;SerialNum=2003938777"/>
    <hyperlink ref="A159" r:id="rId170" display="http://www.westlaw.com/Find/Default.wl?rs=dfa1.0&amp;vr=2.0&amp;DB=6538&amp;FindType=Y&amp;SerialNum=2003930370"/>
    <hyperlink ref="A160" r:id="rId171" display="http://www.westlaw.com/Find/Default.wl?rs=dfa1.0&amp;vr=2.0&amp;DB=6538&amp;FindType=Y&amp;SerialNum=2003930373"/>
    <hyperlink ref="A161" r:id="rId172" display="http://www.westlaw.com/Find/Default.wl?rs=dfa1.0&amp;vr=2.0&amp;DB=6538&amp;FindType=Y&amp;SerialNum=2003930374"/>
    <hyperlink ref="A51" r:id="rId173" display="http://www.westlaw.com/Find/Default.wl?rs=dfa1.0&amp;vr=2.0&amp;DB=506&amp;FindType=Y&amp;SerialNum=2003928717"/>
    <hyperlink ref="A162" r:id="rId174" display="http://www.westlaw.com/Find/Default.wl?rs=dfa1.0&amp;vr=2.0&amp;DB=6538&amp;FindType=Y&amp;SerialNum=2003928797"/>
    <hyperlink ref="A248" r:id="rId175" display="http://www.westlaw.com/Find/Default.wl?rs=dfa1.0&amp;vr=2.0&amp;DB=6538&amp;FindType=Y&amp;SerialNum=2003928800"/>
    <hyperlink ref="A42" r:id="rId176" display="http://www.westlaw.com/Find/Default.wl?rs=dfa1.0&amp;vr=2.0&amp;DB=506&amp;FindType=Y&amp;SerialNum=2003922903"/>
    <hyperlink ref="A163" r:id="rId177" display="http://www.westlaw.com/Find/Default.wl?rs=dfa1.0&amp;vr=2.0&amp;DB=6538&amp;FindType=Y&amp;SerialNum=2003914132"/>
    <hyperlink ref="A249" r:id="rId178" display="http://www.westlaw.com/Find/Default.wl?rs=dfa1.0&amp;vr=2.0&amp;DB=6538&amp;FindType=Y&amp;SerialNum=2003914133"/>
    <hyperlink ref="A250" r:id="rId179" display="http://www.westlaw.com/Find/Default.wl?rs=dfa1.0&amp;vr=2.0&amp;DB=6538&amp;FindType=Y&amp;SerialNum=2003914134"/>
    <hyperlink ref="A251" r:id="rId180" display="http://www.westlaw.com/Find/Default.wl?rs=dfa1.0&amp;vr=2.0&amp;DB=6538&amp;FindType=Y&amp;SerialNum=2004072294"/>
    <hyperlink ref="A164" r:id="rId181" display="http://www.westlaw.com/Find/Default.wl?rs=dfa1.0&amp;vr=2.0&amp;DB=6538&amp;FindType=Y&amp;SerialNum=2003910935"/>
    <hyperlink ref="A252" r:id="rId182" display="http://www.westlaw.com/Find/Default.wl?rs=dfa1.0&amp;vr=2.0&amp;DB=6538&amp;FindType=Y&amp;SerialNum=2003910549"/>
    <hyperlink ref="A253" r:id="rId183" display="http://www.westlaw.com/Find/Default.wl?rs=dfa1.0&amp;vr=2.0&amp;DB=6538&amp;FindType=Y&amp;SerialNum=2004072244"/>
    <hyperlink ref="A165" r:id="rId184" display="http://www.westlaw.com/Find/Default.wl?rs=dfa1.0&amp;vr=2.0&amp;DB=6538&amp;FindType=Y&amp;SerialNum=2003903899"/>
    <hyperlink ref="A166" r:id="rId185" display="http://www.westlaw.com/Find/Default.wl?rs=dfa1.0&amp;vr=2.0&amp;DB=506&amp;FindType=Y&amp;SerialNum=2003895310"/>
    <hyperlink ref="A167" r:id="rId186" display="http://www.westlaw.com/Find/Default.wl?rs=dfa1.0&amp;vr=2.0&amp;DB=6538&amp;FindType=Y&amp;SerialNum=2003896519"/>
    <hyperlink ref="A168" r:id="rId187" display="http://www.westlaw.com/Find/Default.wl?rs=dfa1.0&amp;vr=2.0&amp;DB=6538&amp;FindType=Y&amp;SerialNum=2004064167"/>
    <hyperlink ref="A169" r:id="rId188" display="http://www.westlaw.com/Find/Default.wl?rs=dfa1.0&amp;vr=2.0&amp;DB=6538&amp;FindType=Y&amp;SerialNum=2003888709"/>
    <hyperlink ref="A170" r:id="rId189" display="http://www.westlaw.com/Find/Default.wl?rs=dfa1.0&amp;vr=2.0&amp;DB=6538&amp;FindType=Y&amp;SerialNum=2004079016"/>
    <hyperlink ref="A171" r:id="rId190" display="http://www.westlaw.com/Find/Default.wl?rs=dfa1.0&amp;vr=2.0&amp;DB=506&amp;FindType=Y&amp;SerialNum=2003879813"/>
    <hyperlink ref="A53" r:id="rId191" display="http://www.westlaw.com/Find/Default.wl?rs=dfa1.0&amp;vr=2.0&amp;DB=6538&amp;FindType=Y&amp;SerialNum=2003886041"/>
    <hyperlink ref="A172" r:id="rId192" display="http://www.westlaw.com/Find/Default.wl?rs=dfa1.0&amp;vr=2.0&amp;DB=6538&amp;FindType=Y&amp;SerialNum=2003886040"/>
    <hyperlink ref="A43" r:id="rId193" display="http://www.westlaw.com/Find/Default.wl?rs=dfa1.0&amp;vr=2.0&amp;DB=506&amp;FindType=Y&amp;SerialNum=2003860528"/>
    <hyperlink ref="A173" r:id="rId194" display="http://www.westlaw.com/Find/Default.wl?rs=dfa1.0&amp;vr=2.0&amp;DB=6538&amp;FindType=Y&amp;SerialNum=2003860572"/>
    <hyperlink ref="A174" r:id="rId195" display="http://www.westlaw.com/Find/Default.wl?rs=dfa1.0&amp;vr=2.0&amp;DB=506&amp;FindType=Y&amp;SerialNum=2003860532"/>
    <hyperlink ref="A175" r:id="rId196" display="http://www.westlaw.com/Find/Default.wl?rs=dfa1.0&amp;vr=2.0&amp;DB=506&amp;FindType=Y&amp;SerialNum=2003836652"/>
    <hyperlink ref="A176" r:id="rId197" display="http://www.westlaw.com/Find/Default.wl?rs=dfa1.0&amp;vr=2.0&amp;DB=506&amp;FindType=Y&amp;SerialNum=2003836656"/>
    <hyperlink ref="A44" r:id="rId198" display="http://www.westlaw.com/Find/Default.wl?rs=dfa1.0&amp;vr=2.0&amp;DB=6538&amp;FindType=Y&amp;SerialNum=2003846740"/>
    <hyperlink ref="A177" r:id="rId199" display="http://www.westlaw.com/Find/Default.wl?rs=dfa1.0&amp;vr=2.0&amp;DB=506&amp;FindType=Y&amp;SerialNum=2003828024"/>
    <hyperlink ref="A178" r:id="rId200" display="http://www.westlaw.com/Find/Default.wl?rs=dfa1.0&amp;vr=2.0&amp;DB=6538&amp;FindType=Y&amp;SerialNum=2003828041"/>
    <hyperlink ref="A254" r:id="rId201" display="http://www.westlaw.com/Find/Default.wl?rs=dfa1.0&amp;vr=2.0&amp;DB=6538&amp;FindType=Y&amp;SerialNum=2003763539"/>
    <hyperlink ref="A179" r:id="rId202" display="http://www.westlaw.com/Find/Default.wl?rs=dfa1.0&amp;vr=2.0&amp;DB=6538&amp;FindType=Y&amp;SerialNum=2003753660"/>
    <hyperlink ref="A180" r:id="rId203" display="http://www.westlaw.com/Find/Default.wl?rs=dfa1.0&amp;vr=2.0&amp;DB=6538&amp;FindType=Y&amp;SerialNum=2003753662"/>
    <hyperlink ref="A181" r:id="rId204" display="http://www.westlaw.com/Find/Default.wl?rs=dfa1.0&amp;vr=2.0&amp;DB=6538&amp;FindType=Y&amp;SerialNum=2003753663"/>
    <hyperlink ref="A182" r:id="rId205" display="http://www.westlaw.com/Find/Default.wl?rs=dfa1.0&amp;vr=2.0&amp;DB=6538&amp;FindType=Y&amp;SerialNum=2003753666"/>
    <hyperlink ref="A183" r:id="rId206" display="http://www.westlaw.com/Find/Default.wl?rs=dfa1.0&amp;vr=2.0&amp;DB=6538&amp;FindType=Y&amp;SerialNum=2003753667"/>
    <hyperlink ref="A184" r:id="rId207" display="http://www.westlaw.com/Find/Default.wl?rs=dfa1.0&amp;vr=2.0&amp;DB=506&amp;FindType=Y&amp;SerialNum=2003740590"/>
    <hyperlink ref="A185" r:id="rId208" display="http://www.westlaw.com/Find/Default.wl?rs=dfa1.0&amp;vr=2.0&amp;DB=6538&amp;FindType=Y&amp;SerialNum=2003747766"/>
    <hyperlink ref="A186" r:id="rId209" display="http://www.westlaw.com/Find/Default.wl?rs=dfa1.0&amp;vr=2.0&amp;DB=6538&amp;FindType=Y&amp;SerialNum=2003747830"/>
    <hyperlink ref="A187" r:id="rId210" display="http://www.westlaw.com/Find/Default.wl?rs=dfa1.0&amp;vr=2.0&amp;DB=6538&amp;FindType=Y&amp;SerialNum=2003740631"/>
    <hyperlink ref="A188" r:id="rId211" display="http://www.westlaw.com/Find/Default.wl?rs=dfa1.0&amp;vr=2.0&amp;DB=6538&amp;FindType=Y&amp;SerialNum=2003740632"/>
    <hyperlink ref="A189" r:id="rId212" display="http://www.westlaw.com/Find/Default.wl?rs=dfa1.0&amp;vr=2.0&amp;DB=6538&amp;FindType=Y&amp;SerialNum=2003740633"/>
    <hyperlink ref="A45" r:id="rId213" display="http://www.westlaw.com/Find/Default.wl?rs=dfa1.0&amp;vr=2.0&amp;DB=506&amp;FindType=Y&amp;SerialNum=2003741745"/>
    <hyperlink ref="A190" r:id="rId214" display="http://www.westlaw.com/Find/Default.wl?rs=dfa1.0&amp;vr=2.0&amp;DB=6538&amp;FindType=Y&amp;SerialNum=2003825853"/>
    <hyperlink ref="A191" r:id="rId215" display="http://www.westlaw.com/Find/Default.wl?rs=dfa1.0&amp;vr=2.0&amp;DB=6538&amp;FindType=Y&amp;SerialNum=2003736027"/>
    <hyperlink ref="A192" r:id="rId216" display="http://www.westlaw.com/Find/Default.wl?rs=dfa1.0&amp;vr=2.0&amp;DB=6538&amp;FindType=Y&amp;SerialNum=2003729392"/>
    <hyperlink ref="A193" r:id="rId217" display="http://www.westlaw.com/Find/Default.wl?rs=dfa1.0&amp;vr=2.0&amp;DB=6538&amp;FindType=Y&amp;SerialNum=2003729393"/>
    <hyperlink ref="A194" r:id="rId218" display="http://www.westlaw.com/Find/Default.wl?rs=dfa1.0&amp;vr=2.0&amp;DB=6538&amp;FindType=Y&amp;SerialNum=2003729402"/>
    <hyperlink ref="A195" r:id="rId219" display="http://www.westlaw.com/Find/Default.wl?rs=dfa1.0&amp;vr=2.0&amp;DB=6538&amp;FindType=Y&amp;SerialNum=2003736025"/>
    <hyperlink ref="A196" r:id="rId220" display="http://www.westlaw.com/Find/Default.wl?rs=dfa1.0&amp;vr=2.0&amp;DB=6538&amp;FindType=Y&amp;SerialNum=2003764266"/>
    <hyperlink ref="A197" r:id="rId221" display="http://www.westlaw.com/Find/Default.wl?rs=dfa1.0&amp;vr=2.0&amp;DB=6538&amp;FindType=Y&amp;SerialNum=2003709657"/>
    <hyperlink ref="A198" r:id="rId222" display="http://www.westlaw.com/Find/Default.wl?rs=dfa1.0&amp;vr=2.0&amp;DB=6538&amp;FindType=Y&amp;SerialNum=2003709658"/>
    <hyperlink ref="A199" r:id="rId223" display="http://www.westlaw.com/Find/Default.wl?rs=dfa1.0&amp;vr=2.0&amp;DB=6538&amp;FindType=Y&amp;SerialNum=2003708848"/>
    <hyperlink ref="A200" r:id="rId224" display="http://www.westlaw.com/Find/Default.wl?rs=dfa1.0&amp;vr=2.0&amp;DB=6538&amp;FindType=Y&amp;SerialNum=2003764267"/>
    <hyperlink ref="A46" r:id="rId225" display="http://www.westlaw.com/Find/Default.wl?rs=dfa1.0&amp;vr=2.0&amp;DB=6538&amp;FindType=Y&amp;SerialNum=2003703045"/>
    <hyperlink ref="A255" r:id="rId226" display="http://www.westlaw.com/Find/Default.wl?rs=dfa1.0&amp;vr=2.0&amp;DB=6538&amp;FindType=Y&amp;SerialNum=2003693650"/>
    <hyperlink ref="A256" r:id="rId227" display="http://www.westlaw.com/Find/Default.wl?rs=dfa1.0&amp;vr=2.0&amp;DB=6538&amp;FindType=Y&amp;SerialNum=2003680871"/>
    <hyperlink ref="A262" r:id="rId228" display="http://www.westlaw.com/Find/Default.wl?rs=dfa1.0&amp;vr=2.0&amp;DB=506&amp;FindType=Y&amp;SerialNum=2004583466"/>
    <hyperlink ref="A263" r:id="rId229" display="http://www.westlaw.com/Find/Default.wl?rs=dfa1.0&amp;vr=2.0&amp;DB=4637&amp;FindType=Y&amp;SerialNum=2004949683"/>
    <hyperlink ref="A264" r:id="rId230" display="http://www.westlaw.com/Find/Default.wl?rs=dfa1.0&amp;vr=2.0&amp;DB=4637&amp;FindType=Y&amp;SerialNum=2004722025"/>
    <hyperlink ref="A265" r:id="rId231" display="http://www.westlaw.com/Find/Default.wl?rs=dfa1.0&amp;vr=2.0&amp;FindType=Y&amp;SerialNum=2004238842"/>
    <hyperlink ref="A266" r:id="rId232" display="http://www.westlaw.com/Find/Default.wl?rs=dfa1.0&amp;vr=2.0&amp;DB=164&amp;FindType=Y&amp;SerialNum=2004266600"/>
    <hyperlink ref="A267" r:id="rId233" display="http://www.westlaw.com/Find/Default.wl?rs=dfa1.0&amp;vr=2.0&amp;FindType=Y&amp;SerialNum=2004365933"/>
    <hyperlink ref="A268" r:id="rId234" display="http://www.westlaw.com/Find/Default.wl?rs=dfa1.0&amp;vr=2.0&amp;DB=4637&amp;FindType=Y&amp;SerialNum=2003760242"/>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0"/>
  <sheetViews>
    <sheetView zoomScale="80" zoomScaleNormal="80" zoomScalePageLayoutView="80" workbookViewId="0"/>
  </sheetViews>
  <sheetFormatPr baseColWidth="10" defaultColWidth="8.83203125" defaultRowHeight="14" x14ac:dyDescent="0"/>
  <cols>
    <col min="1" max="1" width="5.6640625" customWidth="1"/>
    <col min="2" max="2" width="19.5" customWidth="1"/>
    <col min="3" max="3" width="45" customWidth="1"/>
    <col min="8" max="8" width="10.5" customWidth="1"/>
  </cols>
  <sheetData>
    <row r="1" spans="1:5" s="13" customFormat="1">
      <c r="A1" s="116">
        <v>2004</v>
      </c>
      <c r="B1" s="39">
        <v>38264</v>
      </c>
      <c r="C1" s="39">
        <v>38627</v>
      </c>
      <c r="D1" s="30"/>
      <c r="E1" s="30"/>
    </row>
    <row r="2" spans="1:5" s="13" customFormat="1">
      <c r="A2" s="12"/>
      <c r="B2" s="12"/>
      <c r="C2" s="12"/>
    </row>
    <row r="3" spans="1:5" s="13" customFormat="1">
      <c r="A3" s="12"/>
      <c r="B3" s="14" t="s">
        <v>24</v>
      </c>
      <c r="C3" s="15"/>
    </row>
    <row r="4" spans="1:5" s="13" customFormat="1">
      <c r="A4" s="12"/>
      <c r="B4" s="16" t="s">
        <v>25</v>
      </c>
      <c r="C4" s="15">
        <f>D31</f>
        <v>9</v>
      </c>
    </row>
    <row r="5" spans="1:5" s="13" customFormat="1" ht="25">
      <c r="A5" s="12"/>
      <c r="B5" s="16" t="s">
        <v>26</v>
      </c>
      <c r="C5" s="15">
        <f>D31</f>
        <v>9</v>
      </c>
    </row>
    <row r="6" spans="1:5" s="13" customFormat="1" ht="25">
      <c r="A6" s="12"/>
      <c r="B6" s="16" t="s">
        <v>27</v>
      </c>
      <c r="C6" s="15">
        <v>0</v>
      </c>
    </row>
    <row r="7" spans="1:5" s="13" customFormat="1">
      <c r="A7" s="12"/>
      <c r="B7" s="16" t="s">
        <v>28</v>
      </c>
      <c r="C7" s="15">
        <v>0</v>
      </c>
    </row>
    <row r="8" spans="1:5" s="13" customFormat="1">
      <c r="A8" s="12"/>
      <c r="B8" s="16" t="s">
        <v>29</v>
      </c>
      <c r="C8" s="15">
        <f>D35</f>
        <v>2</v>
      </c>
    </row>
    <row r="9" spans="1:5" s="13" customFormat="1">
      <c r="A9" s="12"/>
      <c r="B9" s="16" t="s">
        <v>30</v>
      </c>
      <c r="C9" s="15">
        <f>D41</f>
        <v>4</v>
      </c>
    </row>
    <row r="10" spans="1:5" s="13" customFormat="1" ht="25">
      <c r="A10" s="12"/>
      <c r="B10" s="16" t="s">
        <v>14</v>
      </c>
      <c r="C10" s="15">
        <v>0</v>
      </c>
    </row>
    <row r="11" spans="1:5" s="13" customFormat="1">
      <c r="A11" s="12"/>
      <c r="B11" s="16" t="s">
        <v>15</v>
      </c>
      <c r="C11" s="15">
        <v>0</v>
      </c>
    </row>
    <row r="12" spans="1:5" s="13" customFormat="1" ht="25">
      <c r="A12" s="12"/>
      <c r="B12" s="16" t="s">
        <v>31</v>
      </c>
      <c r="C12" s="15">
        <f>D157</f>
        <v>112</v>
      </c>
    </row>
    <row r="13" spans="1:5" s="13" customFormat="1" ht="25">
      <c r="A13" s="12"/>
      <c r="B13" s="16" t="s">
        <v>32</v>
      </c>
      <c r="C13" s="15">
        <v>0</v>
      </c>
    </row>
    <row r="14" spans="1:5" s="13" customFormat="1" ht="25">
      <c r="A14" s="12"/>
      <c r="B14" s="16" t="s">
        <v>33</v>
      </c>
      <c r="C14" s="15">
        <f>D276</f>
        <v>117</v>
      </c>
    </row>
    <row r="15" spans="1:5" s="13" customFormat="1">
      <c r="A15" s="12"/>
      <c r="B15" s="16" t="s">
        <v>4</v>
      </c>
      <c r="C15" s="17">
        <f>C4+C6+C7+C8+C9+C10+C11</f>
        <v>15</v>
      </c>
    </row>
    <row r="16" spans="1:5" s="13" customFormat="1" ht="25">
      <c r="A16" s="12"/>
      <c r="B16" s="16" t="s">
        <v>34</v>
      </c>
      <c r="C16" s="15">
        <f>F290</f>
        <v>10</v>
      </c>
    </row>
    <row r="21" spans="1:10" ht="42">
      <c r="A21" s="78" t="s">
        <v>35</v>
      </c>
      <c r="B21" s="79" t="s">
        <v>36</v>
      </c>
      <c r="C21" s="79" t="s">
        <v>37</v>
      </c>
      <c r="D21" s="80" t="s">
        <v>38</v>
      </c>
      <c r="E21" s="80" t="s">
        <v>39</v>
      </c>
      <c r="F21" s="80" t="s">
        <v>40</v>
      </c>
      <c r="G21" s="80" t="s">
        <v>41</v>
      </c>
      <c r="H21" s="80" t="s">
        <v>42</v>
      </c>
      <c r="I21" s="80" t="s">
        <v>1466</v>
      </c>
      <c r="J21" s="81" t="s">
        <v>4595</v>
      </c>
    </row>
    <row r="22" spans="1:10" ht="28">
      <c r="A22" s="82">
        <v>19</v>
      </c>
      <c r="B22" s="83" t="s">
        <v>4631</v>
      </c>
      <c r="C22" s="84" t="s">
        <v>4632</v>
      </c>
      <c r="D22" s="78" t="s">
        <v>47</v>
      </c>
      <c r="E22" s="78" t="s">
        <v>48</v>
      </c>
      <c r="F22" s="78" t="s">
        <v>49</v>
      </c>
      <c r="G22" s="85"/>
      <c r="H22" s="85"/>
      <c r="I22" s="85"/>
      <c r="J22" s="81"/>
    </row>
    <row r="23" spans="1:10" ht="28">
      <c r="A23" s="82">
        <v>39</v>
      </c>
      <c r="B23" s="83" t="s">
        <v>4670</v>
      </c>
      <c r="C23" s="84" t="s">
        <v>4671</v>
      </c>
      <c r="D23" s="78" t="s">
        <v>47</v>
      </c>
      <c r="E23" s="78" t="s">
        <v>48</v>
      </c>
      <c r="F23" s="78" t="s">
        <v>49</v>
      </c>
      <c r="G23" s="85"/>
      <c r="H23" s="85"/>
      <c r="I23" s="85"/>
      <c r="J23" s="81"/>
    </row>
    <row r="24" spans="1:10" ht="42">
      <c r="A24" s="82">
        <v>93</v>
      </c>
      <c r="B24" s="83" t="s">
        <v>4772</v>
      </c>
      <c r="C24" s="84" t="s">
        <v>4773</v>
      </c>
      <c r="D24" s="78" t="s">
        <v>47</v>
      </c>
      <c r="E24" s="78" t="s">
        <v>48</v>
      </c>
      <c r="F24" s="78" t="s">
        <v>49</v>
      </c>
      <c r="G24" s="85"/>
      <c r="H24" s="85"/>
      <c r="I24" s="85"/>
      <c r="J24" s="81"/>
    </row>
    <row r="25" spans="1:10" ht="28">
      <c r="A25" s="82">
        <v>167</v>
      </c>
      <c r="B25" s="83" t="s">
        <v>4912</v>
      </c>
      <c r="C25" s="84" t="s">
        <v>4913</v>
      </c>
      <c r="D25" s="85" t="s">
        <v>47</v>
      </c>
      <c r="E25" s="85" t="s">
        <v>48</v>
      </c>
      <c r="F25" s="85" t="s">
        <v>49</v>
      </c>
      <c r="G25" s="85"/>
      <c r="H25" s="85"/>
      <c r="I25" s="85"/>
      <c r="J25" s="81"/>
    </row>
    <row r="26" spans="1:10" ht="28">
      <c r="A26" s="82">
        <v>179</v>
      </c>
      <c r="B26" s="83" t="s">
        <v>4936</v>
      </c>
      <c r="C26" s="84" t="s">
        <v>4937</v>
      </c>
      <c r="D26" s="85" t="s">
        <v>47</v>
      </c>
      <c r="E26" s="85" t="s">
        <v>48</v>
      </c>
      <c r="F26" s="85" t="s">
        <v>49</v>
      </c>
      <c r="G26" s="85"/>
      <c r="H26" s="85"/>
      <c r="I26" s="85"/>
      <c r="J26" s="81"/>
    </row>
    <row r="27" spans="1:10" ht="28">
      <c r="A27" s="82">
        <v>199</v>
      </c>
      <c r="B27" s="83" t="s">
        <v>4975</v>
      </c>
      <c r="C27" s="84" t="s">
        <v>4976</v>
      </c>
      <c r="D27" s="85" t="s">
        <v>47</v>
      </c>
      <c r="E27" s="85" t="s">
        <v>48</v>
      </c>
      <c r="F27" s="85" t="s">
        <v>49</v>
      </c>
      <c r="G27" s="85"/>
      <c r="H27" s="85"/>
      <c r="I27" s="85"/>
      <c r="J27" s="81"/>
    </row>
    <row r="28" spans="1:10" ht="28">
      <c r="A28" s="82">
        <v>217</v>
      </c>
      <c r="B28" s="83" t="s">
        <v>5010</v>
      </c>
      <c r="C28" s="84" t="s">
        <v>5011</v>
      </c>
      <c r="D28" s="85" t="s">
        <v>47</v>
      </c>
      <c r="E28" s="85" t="s">
        <v>48</v>
      </c>
      <c r="F28" s="85" t="s">
        <v>49</v>
      </c>
      <c r="G28" s="85"/>
      <c r="H28" s="85"/>
      <c r="I28" s="85"/>
      <c r="J28" s="81"/>
    </row>
    <row r="29" spans="1:10" ht="28">
      <c r="A29" s="82">
        <v>243</v>
      </c>
      <c r="B29" s="83" t="s">
        <v>182</v>
      </c>
      <c r="C29" s="84" t="s">
        <v>5061</v>
      </c>
      <c r="D29" s="85" t="s">
        <v>47</v>
      </c>
      <c r="E29" s="85" t="s">
        <v>48</v>
      </c>
      <c r="F29" s="85" t="s">
        <v>49</v>
      </c>
      <c r="G29" s="85"/>
      <c r="H29" s="85"/>
      <c r="I29" s="85"/>
      <c r="J29" s="81"/>
    </row>
    <row r="30" spans="1:10" ht="56">
      <c r="A30" s="82">
        <v>249</v>
      </c>
      <c r="B30" s="83" t="s">
        <v>5070</v>
      </c>
      <c r="C30" s="84" t="s">
        <v>5071</v>
      </c>
      <c r="D30" s="85" t="s">
        <v>47</v>
      </c>
      <c r="E30" s="85" t="s">
        <v>48</v>
      </c>
      <c r="F30" s="85" t="s">
        <v>49</v>
      </c>
      <c r="G30" s="85"/>
      <c r="H30" s="85"/>
      <c r="I30" s="85"/>
      <c r="J30" s="81"/>
    </row>
    <row r="31" spans="1:10">
      <c r="A31" s="82"/>
      <c r="B31" s="83"/>
      <c r="C31" s="120" t="s">
        <v>95</v>
      </c>
      <c r="D31" s="122">
        <f>COUNTA(D22:D30)</f>
        <v>9</v>
      </c>
      <c r="E31" s="85"/>
      <c r="F31" s="85"/>
      <c r="G31" s="85"/>
      <c r="H31" s="85"/>
      <c r="I31" s="85"/>
      <c r="J31" s="81"/>
    </row>
    <row r="32" spans="1:10">
      <c r="A32" s="82"/>
      <c r="B32" s="83"/>
      <c r="C32" s="84"/>
      <c r="D32" s="85"/>
      <c r="E32" s="85"/>
      <c r="F32" s="85"/>
      <c r="G32" s="85"/>
      <c r="H32" s="85"/>
      <c r="I32" s="85"/>
      <c r="J32" s="81"/>
    </row>
    <row r="33" spans="1:10" ht="28">
      <c r="A33" s="82">
        <v>15</v>
      </c>
      <c r="B33" s="83" t="s">
        <v>4622</v>
      </c>
      <c r="C33" s="84" t="s">
        <v>4623</v>
      </c>
      <c r="D33" s="85" t="s">
        <v>79</v>
      </c>
      <c r="E33" s="85"/>
      <c r="F33" s="85" t="s">
        <v>78</v>
      </c>
      <c r="G33" s="85" t="s">
        <v>167</v>
      </c>
      <c r="H33" s="85" t="s">
        <v>79</v>
      </c>
      <c r="I33" s="85" t="s">
        <v>78</v>
      </c>
      <c r="J33" s="81"/>
    </row>
    <row r="34" spans="1:10" ht="42">
      <c r="A34" s="82">
        <v>247</v>
      </c>
      <c r="B34" s="83" t="s">
        <v>5066</v>
      </c>
      <c r="C34" s="84" t="s">
        <v>5067</v>
      </c>
      <c r="D34" s="85" t="s">
        <v>79</v>
      </c>
      <c r="E34" s="85"/>
      <c r="F34" s="85" t="s">
        <v>49</v>
      </c>
      <c r="G34" s="85"/>
      <c r="H34" s="85"/>
      <c r="I34" s="85"/>
      <c r="J34" s="81"/>
    </row>
    <row r="35" spans="1:10">
      <c r="A35" s="82"/>
      <c r="B35" s="83"/>
      <c r="C35" s="120" t="s">
        <v>95</v>
      </c>
      <c r="D35" s="122">
        <f>COUNTA(D33:D34)</f>
        <v>2</v>
      </c>
      <c r="E35" s="85"/>
      <c r="F35" s="85"/>
      <c r="G35" s="85"/>
      <c r="H35" s="85"/>
      <c r="I35" s="85"/>
      <c r="J35" s="81"/>
    </row>
    <row r="36" spans="1:10">
      <c r="A36" s="82"/>
      <c r="B36" s="83"/>
      <c r="C36" s="84"/>
      <c r="D36" s="85"/>
      <c r="E36" s="85"/>
      <c r="F36" s="85"/>
      <c r="G36" s="85"/>
      <c r="H36" s="85"/>
      <c r="I36" s="85"/>
      <c r="J36" s="81"/>
    </row>
    <row r="37" spans="1:10" ht="28">
      <c r="A37" s="82">
        <v>40</v>
      </c>
      <c r="B37" s="83" t="s">
        <v>4672</v>
      </c>
      <c r="C37" s="84" t="s">
        <v>4673</v>
      </c>
      <c r="D37" s="85" t="s">
        <v>80</v>
      </c>
      <c r="E37" s="85"/>
      <c r="F37" s="85" t="s">
        <v>49</v>
      </c>
      <c r="G37" s="85"/>
      <c r="H37" s="85"/>
      <c r="I37" s="85"/>
      <c r="J37" s="81"/>
    </row>
    <row r="38" spans="1:10" ht="42">
      <c r="A38" s="82">
        <v>234</v>
      </c>
      <c r="B38" s="83" t="s">
        <v>5044</v>
      </c>
      <c r="C38" s="84" t="s">
        <v>5045</v>
      </c>
      <c r="D38" s="85" t="s">
        <v>80</v>
      </c>
      <c r="E38" s="85"/>
      <c r="F38" s="85" t="s">
        <v>49</v>
      </c>
      <c r="G38" s="85"/>
      <c r="H38" s="85"/>
      <c r="I38" s="85"/>
      <c r="J38" s="81"/>
    </row>
    <row r="39" spans="1:10" ht="42">
      <c r="A39" s="89">
        <v>36</v>
      </c>
      <c r="B39" s="90" t="s">
        <v>4665</v>
      </c>
      <c r="C39" s="91" t="s">
        <v>4666</v>
      </c>
      <c r="D39" s="92" t="s">
        <v>100</v>
      </c>
      <c r="E39" s="92"/>
      <c r="F39" s="92" t="s">
        <v>78</v>
      </c>
      <c r="G39" s="92" t="s">
        <v>167</v>
      </c>
      <c r="H39" s="92" t="s">
        <v>100</v>
      </c>
      <c r="I39" s="92" t="s">
        <v>78</v>
      </c>
      <c r="J39" s="93"/>
    </row>
    <row r="40" spans="1:10" ht="28">
      <c r="A40" s="82">
        <v>212</v>
      </c>
      <c r="B40" s="83" t="s">
        <v>5000</v>
      </c>
      <c r="C40" s="84" t="s">
        <v>5001</v>
      </c>
      <c r="D40" s="85" t="s">
        <v>100</v>
      </c>
      <c r="E40" s="85"/>
      <c r="F40" s="85" t="s">
        <v>49</v>
      </c>
      <c r="G40" s="85"/>
      <c r="H40" s="85"/>
      <c r="I40" s="85"/>
      <c r="J40" s="81"/>
    </row>
    <row r="41" spans="1:10">
      <c r="A41" s="82"/>
      <c r="B41" s="83"/>
      <c r="C41" s="120" t="s">
        <v>95</v>
      </c>
      <c r="D41" s="122">
        <f>COUNTA(D37:D40)</f>
        <v>4</v>
      </c>
      <c r="E41" s="85"/>
      <c r="F41" s="85"/>
      <c r="G41" s="85"/>
      <c r="H41" s="85"/>
      <c r="I41" s="85"/>
      <c r="J41" s="81"/>
    </row>
    <row r="42" spans="1:10">
      <c r="A42" s="82"/>
      <c r="B42" s="83"/>
      <c r="C42" s="84"/>
      <c r="D42" s="85"/>
      <c r="E42" s="85"/>
      <c r="F42" s="85"/>
      <c r="G42" s="85"/>
      <c r="H42" s="85"/>
      <c r="I42" s="85"/>
      <c r="J42" s="81"/>
    </row>
    <row r="43" spans="1:10">
      <c r="A43" s="82"/>
      <c r="B43" s="83"/>
      <c r="C43" s="84"/>
      <c r="D43" s="85"/>
      <c r="E43" s="85"/>
      <c r="F43" s="123"/>
      <c r="G43" s="85"/>
      <c r="H43" s="85"/>
      <c r="I43" s="85"/>
      <c r="J43" s="81"/>
    </row>
    <row r="44" spans="1:10">
      <c r="A44" s="82"/>
      <c r="B44" s="83"/>
      <c r="C44" s="84"/>
      <c r="D44" s="85"/>
      <c r="E44" s="85"/>
      <c r="F44" s="123"/>
      <c r="G44" s="85"/>
      <c r="H44" s="85"/>
      <c r="I44" s="85"/>
      <c r="J44" s="81"/>
    </row>
    <row r="45" spans="1:10" ht="28">
      <c r="A45" s="82">
        <v>57</v>
      </c>
      <c r="B45" s="83" t="s">
        <v>4706</v>
      </c>
      <c r="C45" s="84" t="s">
        <v>4707</v>
      </c>
      <c r="D45" s="85" t="s">
        <v>111</v>
      </c>
      <c r="E45" s="78" t="s">
        <v>4626</v>
      </c>
      <c r="F45" s="80" t="s">
        <v>78</v>
      </c>
      <c r="G45" s="85" t="s">
        <v>167</v>
      </c>
      <c r="H45" s="85" t="s">
        <v>111</v>
      </c>
      <c r="I45" s="85" t="s">
        <v>78</v>
      </c>
      <c r="J45" s="81"/>
    </row>
    <row r="46" spans="1:10" ht="28">
      <c r="A46" s="82">
        <v>5</v>
      </c>
      <c r="B46" s="83" t="s">
        <v>4602</v>
      </c>
      <c r="C46" s="84" t="s">
        <v>4603</v>
      </c>
      <c r="D46" s="85" t="s">
        <v>111</v>
      </c>
      <c r="E46" s="123"/>
      <c r="F46" s="123" t="s">
        <v>49</v>
      </c>
      <c r="G46" s="85"/>
      <c r="H46" s="85"/>
      <c r="I46" s="85"/>
      <c r="J46" s="81"/>
    </row>
    <row r="47" spans="1:10" ht="28">
      <c r="A47" s="82">
        <v>16</v>
      </c>
      <c r="B47" s="83" t="s">
        <v>4624</v>
      </c>
      <c r="C47" s="84" t="s">
        <v>4625</v>
      </c>
      <c r="D47" s="85" t="s">
        <v>111</v>
      </c>
      <c r="E47" s="78" t="s">
        <v>4626</v>
      </c>
      <c r="F47" s="123" t="s">
        <v>49</v>
      </c>
      <c r="G47" s="85"/>
      <c r="H47" s="85"/>
      <c r="I47" s="85"/>
      <c r="J47" s="81"/>
    </row>
    <row r="48" spans="1:10" ht="28">
      <c r="A48" s="82">
        <v>17</v>
      </c>
      <c r="B48" s="83" t="s">
        <v>4627</v>
      </c>
      <c r="C48" s="84" t="s">
        <v>4628</v>
      </c>
      <c r="D48" s="85" t="s">
        <v>111</v>
      </c>
      <c r="E48" s="85"/>
      <c r="F48" s="85" t="s">
        <v>49</v>
      </c>
      <c r="G48" s="85"/>
      <c r="H48" s="85"/>
      <c r="I48" s="85"/>
      <c r="J48" s="81"/>
    </row>
    <row r="49" spans="1:10" ht="28">
      <c r="A49" s="82">
        <v>21</v>
      </c>
      <c r="B49" s="83" t="s">
        <v>4635</v>
      </c>
      <c r="C49" s="84" t="s">
        <v>4636</v>
      </c>
      <c r="D49" s="85" t="s">
        <v>111</v>
      </c>
      <c r="E49" s="85"/>
      <c r="F49" s="85" t="s">
        <v>49</v>
      </c>
      <c r="G49" s="85"/>
      <c r="H49" s="85"/>
      <c r="I49" s="85"/>
      <c r="J49" s="81"/>
    </row>
    <row r="50" spans="1:10" ht="28">
      <c r="A50" s="82">
        <v>22</v>
      </c>
      <c r="B50" s="83" t="s">
        <v>4637</v>
      </c>
      <c r="C50" s="84" t="s">
        <v>4638</v>
      </c>
      <c r="D50" s="85" t="s">
        <v>111</v>
      </c>
      <c r="E50" s="85"/>
      <c r="F50" s="85" t="s">
        <v>49</v>
      </c>
      <c r="G50" s="85"/>
      <c r="H50" s="85"/>
      <c r="I50" s="85"/>
      <c r="J50" s="81"/>
    </row>
    <row r="51" spans="1:10" ht="28">
      <c r="A51" s="82">
        <v>23</v>
      </c>
      <c r="B51" s="83" t="s">
        <v>4639</v>
      </c>
      <c r="C51" s="84" t="s">
        <v>4640</v>
      </c>
      <c r="D51" s="85" t="s">
        <v>111</v>
      </c>
      <c r="E51" s="85"/>
      <c r="F51" s="85" t="s">
        <v>49</v>
      </c>
      <c r="G51" s="85"/>
      <c r="H51" s="85"/>
      <c r="I51" s="85"/>
      <c r="J51" s="81"/>
    </row>
    <row r="52" spans="1:10" ht="28">
      <c r="A52" s="82">
        <v>24</v>
      </c>
      <c r="B52" s="83" t="s">
        <v>4641</v>
      </c>
      <c r="C52" s="84" t="s">
        <v>4642</v>
      </c>
      <c r="D52" s="85" t="s">
        <v>111</v>
      </c>
      <c r="E52" s="85"/>
      <c r="F52" s="85" t="s">
        <v>49</v>
      </c>
      <c r="G52" s="85"/>
      <c r="H52" s="85"/>
      <c r="I52" s="85"/>
      <c r="J52" s="81"/>
    </row>
    <row r="53" spans="1:10" ht="42">
      <c r="A53" s="82">
        <v>25</v>
      </c>
      <c r="B53" s="83" t="s">
        <v>4643</v>
      </c>
      <c r="C53" s="84" t="s">
        <v>4644</v>
      </c>
      <c r="D53" s="85" t="s">
        <v>111</v>
      </c>
      <c r="E53" s="85"/>
      <c r="F53" s="85" t="s">
        <v>49</v>
      </c>
      <c r="G53" s="85"/>
      <c r="H53" s="85"/>
      <c r="I53" s="85"/>
      <c r="J53" s="81"/>
    </row>
    <row r="54" spans="1:10" ht="28">
      <c r="A54" s="82">
        <v>26</v>
      </c>
      <c r="B54" s="83" t="s">
        <v>4645</v>
      </c>
      <c r="C54" s="84" t="s">
        <v>4646</v>
      </c>
      <c r="D54" s="85" t="s">
        <v>111</v>
      </c>
      <c r="E54" s="85"/>
      <c r="F54" s="85" t="s">
        <v>49</v>
      </c>
      <c r="G54" s="85"/>
      <c r="H54" s="85"/>
      <c r="I54" s="85"/>
      <c r="J54" s="81"/>
    </row>
    <row r="55" spans="1:10" ht="28">
      <c r="A55" s="82">
        <v>27</v>
      </c>
      <c r="B55" s="83" t="s">
        <v>4647</v>
      </c>
      <c r="C55" s="84" t="s">
        <v>4648</v>
      </c>
      <c r="D55" s="85" t="s">
        <v>111</v>
      </c>
      <c r="E55" s="85"/>
      <c r="F55" s="123" t="s">
        <v>49</v>
      </c>
      <c r="G55" s="85"/>
      <c r="H55" s="85"/>
      <c r="I55" s="85"/>
      <c r="J55" s="81"/>
    </row>
    <row r="56" spans="1:10" ht="28">
      <c r="A56" s="82">
        <v>31</v>
      </c>
      <c r="B56" s="83" t="s">
        <v>4655</v>
      </c>
      <c r="C56" s="84" t="s">
        <v>4656</v>
      </c>
      <c r="D56" s="85" t="s">
        <v>111</v>
      </c>
      <c r="E56" s="78"/>
      <c r="F56" s="80" t="s">
        <v>49</v>
      </c>
      <c r="G56" s="85"/>
      <c r="H56" s="85"/>
      <c r="I56" s="85"/>
      <c r="J56" s="81"/>
    </row>
    <row r="57" spans="1:10" ht="42">
      <c r="A57" s="82">
        <v>32</v>
      </c>
      <c r="B57" s="83" t="s">
        <v>4657</v>
      </c>
      <c r="C57" s="84" t="s">
        <v>4658</v>
      </c>
      <c r="D57" s="85" t="s">
        <v>111</v>
      </c>
      <c r="E57" s="78"/>
      <c r="F57" s="80" t="s">
        <v>49</v>
      </c>
      <c r="G57" s="85"/>
      <c r="H57" s="85"/>
      <c r="I57" s="85"/>
      <c r="J57" s="81"/>
    </row>
    <row r="58" spans="1:10" ht="28">
      <c r="A58" s="82">
        <v>33</v>
      </c>
      <c r="B58" s="83" t="s">
        <v>4659</v>
      </c>
      <c r="C58" s="84" t="s">
        <v>4660</v>
      </c>
      <c r="D58" s="85" t="s">
        <v>111</v>
      </c>
      <c r="E58" s="80" t="s">
        <v>4626</v>
      </c>
      <c r="F58" s="80" t="s">
        <v>49</v>
      </c>
      <c r="G58" s="85"/>
      <c r="H58" s="85"/>
      <c r="I58" s="85"/>
      <c r="J58" s="81"/>
    </row>
    <row r="59" spans="1:10" ht="42">
      <c r="A59" s="82">
        <v>35</v>
      </c>
      <c r="B59" s="83" t="s">
        <v>4663</v>
      </c>
      <c r="C59" s="84" t="s">
        <v>4664</v>
      </c>
      <c r="D59" s="85" t="s">
        <v>111</v>
      </c>
      <c r="E59" s="80"/>
      <c r="F59" s="80" t="s">
        <v>49</v>
      </c>
      <c r="G59" s="85"/>
      <c r="H59" s="85"/>
      <c r="I59" s="85"/>
      <c r="J59" s="81"/>
    </row>
    <row r="60" spans="1:10" ht="42">
      <c r="A60" s="82">
        <v>37</v>
      </c>
      <c r="B60" s="83" t="s">
        <v>4667</v>
      </c>
      <c r="C60" s="84" t="s">
        <v>4668</v>
      </c>
      <c r="D60" s="85" t="s">
        <v>111</v>
      </c>
      <c r="E60" s="78"/>
      <c r="F60" s="80" t="s">
        <v>49</v>
      </c>
      <c r="G60" s="85"/>
      <c r="H60" s="85"/>
      <c r="I60" s="85"/>
      <c r="J60" s="81"/>
    </row>
    <row r="61" spans="1:10" ht="28">
      <c r="A61" s="82">
        <v>42</v>
      </c>
      <c r="B61" s="83" t="s">
        <v>4676</v>
      </c>
      <c r="C61" s="84" t="s">
        <v>4677</v>
      </c>
      <c r="D61" s="85" t="s">
        <v>111</v>
      </c>
      <c r="E61" s="78" t="s">
        <v>4626</v>
      </c>
      <c r="F61" s="78" t="s">
        <v>49</v>
      </c>
      <c r="G61" s="85"/>
      <c r="H61" s="85"/>
      <c r="I61" s="85"/>
      <c r="J61" s="81"/>
    </row>
    <row r="62" spans="1:10" ht="28">
      <c r="A62" s="82">
        <v>43</v>
      </c>
      <c r="B62" s="83" t="s">
        <v>4678</v>
      </c>
      <c r="C62" s="84" t="s">
        <v>4679</v>
      </c>
      <c r="D62" s="85" t="s">
        <v>111</v>
      </c>
      <c r="E62" s="80" t="s">
        <v>4626</v>
      </c>
      <c r="F62" s="80" t="s">
        <v>49</v>
      </c>
      <c r="G62" s="85"/>
      <c r="H62" s="85"/>
      <c r="I62" s="85"/>
      <c r="J62" s="81"/>
    </row>
    <row r="63" spans="1:10" ht="28">
      <c r="A63" s="82">
        <v>44</v>
      </c>
      <c r="B63" s="83" t="s">
        <v>4680</v>
      </c>
      <c r="C63" s="84" t="s">
        <v>4681</v>
      </c>
      <c r="D63" s="85" t="s">
        <v>111</v>
      </c>
      <c r="E63" s="78" t="s">
        <v>4626</v>
      </c>
      <c r="F63" s="78" t="s">
        <v>49</v>
      </c>
      <c r="G63" s="85"/>
      <c r="H63" s="85"/>
      <c r="I63" s="85"/>
      <c r="J63" s="81"/>
    </row>
    <row r="64" spans="1:10" ht="42">
      <c r="A64" s="82">
        <v>45</v>
      </c>
      <c r="B64" s="83" t="s">
        <v>4682</v>
      </c>
      <c r="C64" s="84" t="s">
        <v>4683</v>
      </c>
      <c r="D64" s="85" t="s">
        <v>111</v>
      </c>
      <c r="E64" s="80"/>
      <c r="F64" s="80" t="s">
        <v>49</v>
      </c>
      <c r="G64" s="85"/>
      <c r="H64" s="85"/>
      <c r="I64" s="85"/>
      <c r="J64" s="81"/>
    </row>
    <row r="65" spans="1:10" ht="28">
      <c r="A65" s="82">
        <v>46</v>
      </c>
      <c r="B65" s="83" t="s">
        <v>4684</v>
      </c>
      <c r="C65" s="84" t="s">
        <v>4685</v>
      </c>
      <c r="D65" s="85" t="s">
        <v>111</v>
      </c>
      <c r="E65" s="78" t="s">
        <v>4626</v>
      </c>
      <c r="F65" s="80" t="s">
        <v>49</v>
      </c>
      <c r="G65" s="85"/>
      <c r="H65" s="85"/>
      <c r="I65" s="85"/>
      <c r="J65" s="81"/>
    </row>
    <row r="66" spans="1:10" ht="28">
      <c r="A66" s="82">
        <v>57</v>
      </c>
      <c r="B66" s="83" t="s">
        <v>4706</v>
      </c>
      <c r="C66" s="84" t="s">
        <v>4707</v>
      </c>
      <c r="D66" s="85" t="s">
        <v>111</v>
      </c>
      <c r="E66" s="78" t="s">
        <v>4626</v>
      </c>
      <c r="F66" s="78" t="s">
        <v>78</v>
      </c>
      <c r="G66" s="85" t="s">
        <v>167</v>
      </c>
      <c r="H66" s="85" t="s">
        <v>111</v>
      </c>
      <c r="I66" s="85" t="s">
        <v>78</v>
      </c>
      <c r="J66" s="81"/>
    </row>
    <row r="67" spans="1:10" ht="28">
      <c r="A67" s="82">
        <v>63</v>
      </c>
      <c r="B67" s="83" t="s">
        <v>453</v>
      </c>
      <c r="C67" s="84" t="s">
        <v>4718</v>
      </c>
      <c r="D67" s="85" t="s">
        <v>111</v>
      </c>
      <c r="E67" s="80"/>
      <c r="F67" s="80" t="s">
        <v>49</v>
      </c>
      <c r="G67" s="85"/>
      <c r="H67" s="85"/>
      <c r="I67" s="85"/>
      <c r="J67" s="81"/>
    </row>
    <row r="68" spans="1:10" ht="28">
      <c r="A68" s="82">
        <v>66</v>
      </c>
      <c r="B68" s="83" t="s">
        <v>4723</v>
      </c>
      <c r="C68" s="84" t="s">
        <v>4724</v>
      </c>
      <c r="D68" s="85" t="s">
        <v>111</v>
      </c>
      <c r="E68" s="78"/>
      <c r="F68" s="78" t="s">
        <v>49</v>
      </c>
      <c r="G68" s="85"/>
      <c r="H68" s="85"/>
      <c r="I68" s="85"/>
      <c r="J68" s="81"/>
    </row>
    <row r="69" spans="1:10" ht="42">
      <c r="A69" s="82">
        <v>67</v>
      </c>
      <c r="B69" s="83" t="s">
        <v>4725</v>
      </c>
      <c r="C69" s="84" t="s">
        <v>4726</v>
      </c>
      <c r="D69" s="85" t="s">
        <v>111</v>
      </c>
      <c r="E69" s="78" t="s">
        <v>4626</v>
      </c>
      <c r="F69" s="80" t="s">
        <v>49</v>
      </c>
      <c r="G69" s="85"/>
      <c r="H69" s="85"/>
      <c r="I69" s="85"/>
      <c r="J69" s="81"/>
    </row>
    <row r="70" spans="1:10" ht="28">
      <c r="A70" s="82">
        <v>68</v>
      </c>
      <c r="B70" s="83" t="s">
        <v>4727</v>
      </c>
      <c r="C70" s="84" t="s">
        <v>4728</v>
      </c>
      <c r="D70" s="85" t="s">
        <v>111</v>
      </c>
      <c r="E70" s="78" t="s">
        <v>4626</v>
      </c>
      <c r="F70" s="80" t="s">
        <v>49</v>
      </c>
      <c r="G70" s="85"/>
      <c r="H70" s="85"/>
      <c r="I70" s="85"/>
      <c r="J70" s="81"/>
    </row>
    <row r="71" spans="1:10" ht="28">
      <c r="A71" s="82">
        <v>69</v>
      </c>
      <c r="B71" s="83" t="s">
        <v>4729</v>
      </c>
      <c r="C71" s="84" t="s">
        <v>4730</v>
      </c>
      <c r="D71" s="85" t="s">
        <v>111</v>
      </c>
      <c r="E71" s="78" t="s">
        <v>4626</v>
      </c>
      <c r="F71" s="80" t="s">
        <v>49</v>
      </c>
      <c r="G71" s="85"/>
      <c r="H71" s="85"/>
      <c r="I71" s="85"/>
      <c r="J71" s="81"/>
    </row>
    <row r="72" spans="1:10" ht="28">
      <c r="A72" s="82">
        <v>72</v>
      </c>
      <c r="B72" s="83" t="s">
        <v>4734</v>
      </c>
      <c r="C72" s="84" t="s">
        <v>4735</v>
      </c>
      <c r="D72" s="85" t="s">
        <v>111</v>
      </c>
      <c r="E72" s="78" t="s">
        <v>4626</v>
      </c>
      <c r="F72" s="80" t="s">
        <v>49</v>
      </c>
      <c r="G72" s="85"/>
      <c r="H72" s="85"/>
      <c r="I72" s="85"/>
      <c r="J72" s="81"/>
    </row>
    <row r="73" spans="1:10" ht="28">
      <c r="A73" s="82">
        <v>74</v>
      </c>
      <c r="B73" s="83" t="s">
        <v>4738</v>
      </c>
      <c r="C73" s="84" t="s">
        <v>4739</v>
      </c>
      <c r="D73" s="85" t="s">
        <v>111</v>
      </c>
      <c r="E73" s="80" t="s">
        <v>4626</v>
      </c>
      <c r="F73" s="123" t="s">
        <v>49</v>
      </c>
      <c r="G73" s="85"/>
      <c r="H73" s="85"/>
      <c r="I73" s="85"/>
      <c r="J73" s="81"/>
    </row>
    <row r="74" spans="1:10" ht="42">
      <c r="A74" s="89">
        <v>75</v>
      </c>
      <c r="B74" s="90" t="s">
        <v>4554</v>
      </c>
      <c r="C74" s="91" t="s">
        <v>4740</v>
      </c>
      <c r="D74" s="92" t="s">
        <v>111</v>
      </c>
      <c r="E74" s="94" t="s">
        <v>4626</v>
      </c>
      <c r="F74" s="95" t="s">
        <v>49</v>
      </c>
      <c r="G74" s="92"/>
      <c r="H74" s="92"/>
      <c r="I74" s="92"/>
      <c r="J74" s="93"/>
    </row>
    <row r="75" spans="1:10" ht="28">
      <c r="A75" s="82">
        <v>77</v>
      </c>
      <c r="B75" s="83" t="s">
        <v>2586</v>
      </c>
      <c r="C75" s="84" t="s">
        <v>4743</v>
      </c>
      <c r="D75" s="85" t="s">
        <v>111</v>
      </c>
      <c r="E75" s="78" t="s">
        <v>4626</v>
      </c>
      <c r="F75" s="80" t="s">
        <v>49</v>
      </c>
      <c r="G75" s="85"/>
      <c r="H75" s="85"/>
      <c r="I75" s="85"/>
      <c r="J75" s="81"/>
    </row>
    <row r="76" spans="1:10" ht="28">
      <c r="A76" s="82">
        <v>78</v>
      </c>
      <c r="B76" s="83" t="s">
        <v>4744</v>
      </c>
      <c r="C76" s="84" t="s">
        <v>4745</v>
      </c>
      <c r="D76" s="85" t="s">
        <v>111</v>
      </c>
      <c r="E76" s="78" t="s">
        <v>4626</v>
      </c>
      <c r="F76" s="80" t="s">
        <v>49</v>
      </c>
      <c r="G76" s="85"/>
      <c r="H76" s="85"/>
      <c r="I76" s="85"/>
      <c r="J76" s="81"/>
    </row>
    <row r="77" spans="1:10" ht="28">
      <c r="A77" s="82">
        <v>79</v>
      </c>
      <c r="B77" s="83" t="s">
        <v>4746</v>
      </c>
      <c r="C77" s="84" t="s">
        <v>4747</v>
      </c>
      <c r="D77" s="85" t="s">
        <v>111</v>
      </c>
      <c r="E77" s="78" t="s">
        <v>4626</v>
      </c>
      <c r="F77" s="80" t="s">
        <v>49</v>
      </c>
      <c r="G77" s="85"/>
      <c r="H77" s="85"/>
      <c r="I77" s="85"/>
      <c r="J77" s="81"/>
    </row>
    <row r="78" spans="1:10" ht="28">
      <c r="A78" s="82">
        <v>80</v>
      </c>
      <c r="B78" s="83" t="s">
        <v>4748</v>
      </c>
      <c r="C78" s="84" t="s">
        <v>4749</v>
      </c>
      <c r="D78" s="85" t="s">
        <v>111</v>
      </c>
      <c r="E78" s="78" t="s">
        <v>4626</v>
      </c>
      <c r="F78" s="80" t="s">
        <v>49</v>
      </c>
      <c r="G78" s="85"/>
      <c r="H78" s="85"/>
      <c r="I78" s="85"/>
      <c r="J78" s="81"/>
    </row>
    <row r="79" spans="1:10" ht="28">
      <c r="A79" s="82">
        <v>82</v>
      </c>
      <c r="B79" s="83" t="s">
        <v>4752</v>
      </c>
      <c r="C79" s="84" t="s">
        <v>4753</v>
      </c>
      <c r="D79" s="85" t="s">
        <v>111</v>
      </c>
      <c r="E79" s="78" t="s">
        <v>4626</v>
      </c>
      <c r="F79" s="80" t="s">
        <v>49</v>
      </c>
      <c r="G79" s="85"/>
      <c r="H79" s="85"/>
      <c r="I79" s="85"/>
      <c r="J79" s="81"/>
    </row>
    <row r="80" spans="1:10" ht="28">
      <c r="A80" s="82">
        <v>95</v>
      </c>
      <c r="B80" s="83" t="s">
        <v>4776</v>
      </c>
      <c r="C80" s="84" t="s">
        <v>4777</v>
      </c>
      <c r="D80" s="85" t="s">
        <v>111</v>
      </c>
      <c r="E80" s="78" t="s">
        <v>4626</v>
      </c>
      <c r="F80" s="80" t="s">
        <v>49</v>
      </c>
      <c r="G80" s="85"/>
      <c r="H80" s="85"/>
      <c r="I80" s="85"/>
      <c r="J80" s="81"/>
    </row>
    <row r="81" spans="1:10" ht="28">
      <c r="A81" s="82">
        <v>100</v>
      </c>
      <c r="B81" s="83" t="s">
        <v>4786</v>
      </c>
      <c r="C81" s="84" t="s">
        <v>4787</v>
      </c>
      <c r="D81" s="85" t="s">
        <v>111</v>
      </c>
      <c r="E81" s="78" t="s">
        <v>4626</v>
      </c>
      <c r="F81" s="80" t="s">
        <v>49</v>
      </c>
      <c r="G81" s="85"/>
      <c r="H81" s="85"/>
      <c r="I81" s="85"/>
      <c r="J81" s="81"/>
    </row>
    <row r="82" spans="1:10" ht="28">
      <c r="A82" s="82">
        <v>102</v>
      </c>
      <c r="B82" s="83" t="s">
        <v>4790</v>
      </c>
      <c r="C82" s="84" t="s">
        <v>4791</v>
      </c>
      <c r="D82" s="85" t="s">
        <v>111</v>
      </c>
      <c r="E82" s="85"/>
      <c r="F82" s="123" t="s">
        <v>49</v>
      </c>
      <c r="G82" s="85"/>
      <c r="H82" s="85"/>
      <c r="I82" s="85"/>
      <c r="J82" s="81"/>
    </row>
    <row r="83" spans="1:10" ht="28">
      <c r="A83" s="82">
        <v>105</v>
      </c>
      <c r="B83" s="83" t="s">
        <v>4795</v>
      </c>
      <c r="C83" s="84" t="s">
        <v>4796</v>
      </c>
      <c r="D83" s="85" t="s">
        <v>111</v>
      </c>
      <c r="E83" s="80" t="s">
        <v>4626</v>
      </c>
      <c r="F83" s="123" t="s">
        <v>49</v>
      </c>
      <c r="G83" s="85"/>
      <c r="H83" s="85"/>
      <c r="I83" s="85"/>
      <c r="J83" s="81"/>
    </row>
    <row r="84" spans="1:10" ht="28">
      <c r="A84" s="82">
        <v>106</v>
      </c>
      <c r="B84" s="83" t="s">
        <v>4797</v>
      </c>
      <c r="C84" s="84" t="s">
        <v>4798</v>
      </c>
      <c r="D84" s="85" t="s">
        <v>111</v>
      </c>
      <c r="E84" s="78" t="s">
        <v>4626</v>
      </c>
      <c r="F84" s="123" t="s">
        <v>49</v>
      </c>
      <c r="G84" s="85"/>
      <c r="H84" s="85"/>
      <c r="I84" s="85"/>
      <c r="J84" s="81"/>
    </row>
    <row r="85" spans="1:10" ht="28">
      <c r="A85" s="82">
        <v>108</v>
      </c>
      <c r="B85" s="83" t="s">
        <v>4801</v>
      </c>
      <c r="C85" s="84" t="s">
        <v>4802</v>
      </c>
      <c r="D85" s="85" t="s">
        <v>111</v>
      </c>
      <c r="E85" s="78" t="s">
        <v>4626</v>
      </c>
      <c r="F85" s="123" t="s">
        <v>49</v>
      </c>
      <c r="G85" s="85"/>
      <c r="H85" s="85"/>
      <c r="I85" s="85"/>
      <c r="J85" s="81"/>
    </row>
    <row r="86" spans="1:10" ht="28">
      <c r="A86" s="82">
        <v>109</v>
      </c>
      <c r="B86" s="83" t="s">
        <v>4803</v>
      </c>
      <c r="C86" s="84" t="s">
        <v>4804</v>
      </c>
      <c r="D86" s="85" t="s">
        <v>111</v>
      </c>
      <c r="E86" s="78" t="s">
        <v>4626</v>
      </c>
      <c r="F86" s="123" t="s">
        <v>49</v>
      </c>
      <c r="G86" s="85"/>
      <c r="H86" s="85"/>
      <c r="I86" s="85"/>
      <c r="J86" s="81"/>
    </row>
    <row r="87" spans="1:10" ht="28">
      <c r="A87" s="82">
        <v>110</v>
      </c>
      <c r="B87" s="83" t="s">
        <v>4805</v>
      </c>
      <c r="C87" s="84" t="s">
        <v>4806</v>
      </c>
      <c r="D87" s="85" t="s">
        <v>111</v>
      </c>
      <c r="E87" s="78" t="s">
        <v>4626</v>
      </c>
      <c r="F87" s="123" t="s">
        <v>49</v>
      </c>
      <c r="G87" s="85"/>
      <c r="H87" s="85"/>
      <c r="I87" s="85"/>
      <c r="J87" s="81"/>
    </row>
    <row r="88" spans="1:10" ht="28">
      <c r="A88" s="82">
        <v>113</v>
      </c>
      <c r="B88" s="83" t="s">
        <v>4811</v>
      </c>
      <c r="C88" s="84" t="s">
        <v>4812</v>
      </c>
      <c r="D88" s="85" t="s">
        <v>111</v>
      </c>
      <c r="E88" s="78" t="s">
        <v>4626</v>
      </c>
      <c r="F88" s="123" t="s">
        <v>49</v>
      </c>
      <c r="G88" s="85"/>
      <c r="H88" s="85"/>
      <c r="I88" s="85"/>
      <c r="J88" s="81"/>
    </row>
    <row r="89" spans="1:10" ht="28">
      <c r="A89" s="82">
        <v>117</v>
      </c>
      <c r="B89" s="83" t="s">
        <v>4819</v>
      </c>
      <c r="C89" s="84" t="s">
        <v>4820</v>
      </c>
      <c r="D89" s="85" t="s">
        <v>111</v>
      </c>
      <c r="E89" s="78" t="s">
        <v>4626</v>
      </c>
      <c r="F89" s="123" t="s">
        <v>49</v>
      </c>
      <c r="G89" s="85"/>
      <c r="H89" s="85"/>
      <c r="I89" s="85"/>
      <c r="J89" s="81"/>
    </row>
    <row r="90" spans="1:10" ht="28">
      <c r="A90" s="82">
        <v>118</v>
      </c>
      <c r="B90" s="83" t="s">
        <v>4821</v>
      </c>
      <c r="C90" s="84" t="s">
        <v>4822</v>
      </c>
      <c r="D90" s="85" t="s">
        <v>111</v>
      </c>
      <c r="E90" s="78" t="s">
        <v>4626</v>
      </c>
      <c r="F90" s="123" t="s">
        <v>49</v>
      </c>
      <c r="G90" s="85"/>
      <c r="H90" s="85"/>
      <c r="I90" s="85"/>
      <c r="J90" s="81"/>
    </row>
    <row r="91" spans="1:10" ht="28">
      <c r="A91" s="82">
        <v>120</v>
      </c>
      <c r="B91" s="83" t="s">
        <v>4825</v>
      </c>
      <c r="C91" s="84" t="s">
        <v>4826</v>
      </c>
      <c r="D91" s="85" t="s">
        <v>111</v>
      </c>
      <c r="E91" s="80" t="s">
        <v>4626</v>
      </c>
      <c r="F91" s="123" t="s">
        <v>49</v>
      </c>
      <c r="G91" s="85"/>
      <c r="H91" s="85"/>
      <c r="I91" s="85"/>
      <c r="J91" s="81"/>
    </row>
    <row r="92" spans="1:10" ht="28">
      <c r="A92" s="82">
        <v>121</v>
      </c>
      <c r="B92" s="83" t="s">
        <v>4827</v>
      </c>
      <c r="C92" s="84" t="s">
        <v>4828</v>
      </c>
      <c r="D92" s="85" t="s">
        <v>111</v>
      </c>
      <c r="E92" s="78" t="s">
        <v>4626</v>
      </c>
      <c r="F92" s="123" t="s">
        <v>49</v>
      </c>
      <c r="G92" s="85"/>
      <c r="H92" s="85"/>
      <c r="I92" s="85"/>
      <c r="J92" s="81"/>
    </row>
    <row r="93" spans="1:10" ht="28">
      <c r="A93" s="82">
        <v>122</v>
      </c>
      <c r="B93" s="83" t="s">
        <v>4829</v>
      </c>
      <c r="C93" s="84" t="s">
        <v>4830</v>
      </c>
      <c r="D93" s="85" t="s">
        <v>111</v>
      </c>
      <c r="E93" s="78" t="s">
        <v>4626</v>
      </c>
      <c r="F93" s="123" t="s">
        <v>49</v>
      </c>
      <c r="G93" s="85"/>
      <c r="H93" s="85"/>
      <c r="I93" s="85"/>
      <c r="J93" s="81"/>
    </row>
    <row r="94" spans="1:10" ht="28">
      <c r="A94" s="82">
        <v>126</v>
      </c>
      <c r="B94" s="83" t="s">
        <v>4836</v>
      </c>
      <c r="C94" s="84" t="s">
        <v>4837</v>
      </c>
      <c r="D94" s="85" t="s">
        <v>111</v>
      </c>
      <c r="E94" s="80" t="s">
        <v>4626</v>
      </c>
      <c r="F94" s="123" t="s">
        <v>49</v>
      </c>
      <c r="G94" s="85"/>
      <c r="H94" s="85"/>
      <c r="I94" s="85"/>
      <c r="J94" s="81"/>
    </row>
    <row r="95" spans="1:10" ht="56">
      <c r="A95" s="82">
        <v>128</v>
      </c>
      <c r="B95" s="83" t="s">
        <v>4840</v>
      </c>
      <c r="C95" s="84" t="s">
        <v>4841</v>
      </c>
      <c r="D95" s="85" t="s">
        <v>111</v>
      </c>
      <c r="E95" s="78" t="s">
        <v>4626</v>
      </c>
      <c r="F95" s="123" t="s">
        <v>49</v>
      </c>
      <c r="G95" s="85"/>
      <c r="H95" s="85"/>
      <c r="I95" s="85"/>
      <c r="J95" s="81"/>
    </row>
    <row r="96" spans="1:10" ht="42">
      <c r="A96" s="82">
        <v>131</v>
      </c>
      <c r="B96" s="83" t="s">
        <v>4846</v>
      </c>
      <c r="C96" s="84" t="s">
        <v>4847</v>
      </c>
      <c r="D96" s="85" t="s">
        <v>111</v>
      </c>
      <c r="E96" s="78" t="s">
        <v>4626</v>
      </c>
      <c r="F96" s="123" t="s">
        <v>49</v>
      </c>
      <c r="G96" s="85"/>
      <c r="H96" s="85"/>
      <c r="I96" s="85"/>
      <c r="J96" s="81"/>
    </row>
    <row r="97" spans="1:10" ht="28">
      <c r="A97" s="82">
        <v>132</v>
      </c>
      <c r="B97" s="83" t="s">
        <v>4848</v>
      </c>
      <c r="C97" s="84" t="s">
        <v>4849</v>
      </c>
      <c r="D97" s="85" t="s">
        <v>111</v>
      </c>
      <c r="E97" s="78" t="s">
        <v>4626</v>
      </c>
      <c r="F97" s="123" t="s">
        <v>49</v>
      </c>
      <c r="G97" s="85"/>
      <c r="H97" s="85"/>
      <c r="I97" s="85"/>
      <c r="J97" s="81"/>
    </row>
    <row r="98" spans="1:10" ht="28">
      <c r="A98" s="82">
        <v>133</v>
      </c>
      <c r="B98" s="83" t="s">
        <v>4850</v>
      </c>
      <c r="C98" s="84" t="s">
        <v>4851</v>
      </c>
      <c r="D98" s="85" t="s">
        <v>111</v>
      </c>
      <c r="E98" s="78" t="s">
        <v>4626</v>
      </c>
      <c r="F98" s="123" t="s">
        <v>49</v>
      </c>
      <c r="G98" s="85"/>
      <c r="H98" s="85"/>
      <c r="I98" s="85"/>
      <c r="J98" s="81"/>
    </row>
    <row r="99" spans="1:10" ht="28">
      <c r="A99" s="82">
        <v>135</v>
      </c>
      <c r="B99" s="83" t="s">
        <v>4853</v>
      </c>
      <c r="C99" s="84" t="s">
        <v>4854</v>
      </c>
      <c r="D99" s="85" t="s">
        <v>111</v>
      </c>
      <c r="E99" s="78" t="s">
        <v>4626</v>
      </c>
      <c r="F99" s="123" t="s">
        <v>49</v>
      </c>
      <c r="G99" s="85"/>
      <c r="H99" s="85"/>
      <c r="I99" s="85"/>
      <c r="J99" s="81"/>
    </row>
    <row r="100" spans="1:10" ht="28">
      <c r="A100" s="82">
        <v>136</v>
      </c>
      <c r="B100" s="83" t="s">
        <v>4855</v>
      </c>
      <c r="C100" s="84" t="s">
        <v>4856</v>
      </c>
      <c r="D100" s="85" t="s">
        <v>111</v>
      </c>
      <c r="E100" s="78" t="s">
        <v>4626</v>
      </c>
      <c r="F100" s="123" t="s">
        <v>49</v>
      </c>
      <c r="G100" s="85"/>
      <c r="H100" s="85"/>
      <c r="I100" s="85"/>
      <c r="J100" s="81"/>
    </row>
    <row r="101" spans="1:10" ht="28">
      <c r="A101" s="82">
        <v>137</v>
      </c>
      <c r="B101" s="83" t="s">
        <v>4857</v>
      </c>
      <c r="C101" s="84" t="s">
        <v>4858</v>
      </c>
      <c r="D101" s="85" t="s">
        <v>111</v>
      </c>
      <c r="E101" s="78" t="s">
        <v>4626</v>
      </c>
      <c r="F101" s="123" t="s">
        <v>49</v>
      </c>
      <c r="G101" s="85"/>
      <c r="H101" s="85"/>
      <c r="I101" s="85"/>
      <c r="J101" s="81"/>
    </row>
    <row r="102" spans="1:10" ht="28">
      <c r="A102" s="82">
        <v>139</v>
      </c>
      <c r="B102" s="83" t="s">
        <v>4861</v>
      </c>
      <c r="C102" s="84" t="s">
        <v>4862</v>
      </c>
      <c r="D102" s="85" t="s">
        <v>111</v>
      </c>
      <c r="E102" s="78" t="s">
        <v>4626</v>
      </c>
      <c r="F102" s="85" t="s">
        <v>49</v>
      </c>
      <c r="G102" s="85"/>
      <c r="H102" s="85"/>
      <c r="I102" s="85"/>
      <c r="J102" s="81"/>
    </row>
    <row r="103" spans="1:10" s="56" customFormat="1" ht="28">
      <c r="A103" s="82">
        <v>140</v>
      </c>
      <c r="B103" s="83" t="s">
        <v>4863</v>
      </c>
      <c r="C103" s="84" t="s">
        <v>4864</v>
      </c>
      <c r="D103" s="85" t="s">
        <v>111</v>
      </c>
      <c r="E103" s="78" t="s">
        <v>4626</v>
      </c>
      <c r="F103" s="123" t="s">
        <v>49</v>
      </c>
      <c r="G103" s="85"/>
      <c r="H103" s="85"/>
      <c r="I103" s="85"/>
      <c r="J103" s="81"/>
    </row>
    <row r="104" spans="1:10" ht="28">
      <c r="A104" s="82">
        <v>141</v>
      </c>
      <c r="B104" s="83" t="s">
        <v>845</v>
      </c>
      <c r="C104" s="84" t="s">
        <v>4865</v>
      </c>
      <c r="D104" s="85" t="s">
        <v>111</v>
      </c>
      <c r="E104" s="78" t="s">
        <v>4626</v>
      </c>
      <c r="F104" s="123" t="s">
        <v>49</v>
      </c>
      <c r="G104" s="85"/>
      <c r="H104" s="85"/>
      <c r="I104" s="85"/>
      <c r="J104" s="81"/>
    </row>
    <row r="105" spans="1:10" ht="28">
      <c r="A105" s="82">
        <v>143</v>
      </c>
      <c r="B105" s="83" t="s">
        <v>4868</v>
      </c>
      <c r="C105" s="84" t="s">
        <v>4869</v>
      </c>
      <c r="D105" s="85" t="s">
        <v>111</v>
      </c>
      <c r="E105" s="78" t="s">
        <v>4626</v>
      </c>
      <c r="F105" s="123" t="s">
        <v>49</v>
      </c>
      <c r="G105" s="85"/>
      <c r="H105" s="85"/>
      <c r="I105" s="85"/>
      <c r="J105" s="81"/>
    </row>
    <row r="106" spans="1:10" ht="28">
      <c r="A106" s="82">
        <v>144</v>
      </c>
      <c r="B106" s="83" t="s">
        <v>4870</v>
      </c>
      <c r="C106" s="84" t="s">
        <v>4871</v>
      </c>
      <c r="D106" s="85" t="s">
        <v>111</v>
      </c>
      <c r="E106" s="78" t="s">
        <v>4626</v>
      </c>
      <c r="F106" s="123" t="s">
        <v>49</v>
      </c>
      <c r="G106" s="85"/>
      <c r="H106" s="85"/>
      <c r="I106" s="85"/>
      <c r="J106" s="81"/>
    </row>
    <row r="107" spans="1:10" ht="28">
      <c r="A107" s="82">
        <v>145</v>
      </c>
      <c r="B107" s="83" t="s">
        <v>1586</v>
      </c>
      <c r="C107" s="84" t="s">
        <v>4872</v>
      </c>
      <c r="D107" s="85" t="s">
        <v>111</v>
      </c>
      <c r="E107" s="78" t="s">
        <v>4626</v>
      </c>
      <c r="F107" s="123" t="s">
        <v>49</v>
      </c>
      <c r="G107" s="85"/>
      <c r="H107" s="85"/>
      <c r="I107" s="85"/>
      <c r="J107" s="81"/>
    </row>
    <row r="108" spans="1:10" ht="28">
      <c r="A108" s="82">
        <v>148</v>
      </c>
      <c r="B108" s="83" t="s">
        <v>4877</v>
      </c>
      <c r="C108" s="84" t="s">
        <v>4878</v>
      </c>
      <c r="D108" s="85" t="s">
        <v>111</v>
      </c>
      <c r="E108" s="78" t="s">
        <v>4626</v>
      </c>
      <c r="F108" s="123" t="s">
        <v>49</v>
      </c>
      <c r="G108" s="85"/>
      <c r="H108" s="85"/>
      <c r="I108" s="85"/>
      <c r="J108" s="81"/>
    </row>
    <row r="109" spans="1:10" ht="28">
      <c r="A109" s="82">
        <v>149</v>
      </c>
      <c r="B109" s="83" t="s">
        <v>4879</v>
      </c>
      <c r="C109" s="84" t="s">
        <v>4880</v>
      </c>
      <c r="D109" s="85" t="s">
        <v>111</v>
      </c>
      <c r="E109" s="78" t="s">
        <v>4626</v>
      </c>
      <c r="F109" s="123" t="s">
        <v>49</v>
      </c>
      <c r="G109" s="85"/>
      <c r="H109" s="85"/>
      <c r="I109" s="85"/>
      <c r="J109" s="81"/>
    </row>
    <row r="110" spans="1:10" ht="28">
      <c r="A110" s="82">
        <v>155</v>
      </c>
      <c r="B110" s="83" t="s">
        <v>4891</v>
      </c>
      <c r="C110" s="84" t="s">
        <v>4892</v>
      </c>
      <c r="D110" s="85" t="s">
        <v>111</v>
      </c>
      <c r="E110" s="78" t="s">
        <v>4626</v>
      </c>
      <c r="F110" s="123" t="s">
        <v>49</v>
      </c>
      <c r="G110" s="85"/>
      <c r="H110" s="85"/>
      <c r="I110" s="85"/>
      <c r="J110" s="81"/>
    </row>
    <row r="111" spans="1:10" ht="28">
      <c r="A111" s="82">
        <v>157</v>
      </c>
      <c r="B111" s="83" t="s">
        <v>705</v>
      </c>
      <c r="C111" s="84" t="s">
        <v>4895</v>
      </c>
      <c r="D111" s="85" t="s">
        <v>111</v>
      </c>
      <c r="E111" s="85"/>
      <c r="F111" s="123" t="s">
        <v>49</v>
      </c>
      <c r="G111" s="85"/>
      <c r="H111" s="85"/>
      <c r="I111" s="85"/>
      <c r="J111" s="81"/>
    </row>
    <row r="112" spans="1:10" ht="28">
      <c r="A112" s="82">
        <v>161</v>
      </c>
      <c r="B112" s="83" t="s">
        <v>4901</v>
      </c>
      <c r="C112" s="84" t="s">
        <v>4902</v>
      </c>
      <c r="D112" s="85" t="s">
        <v>111</v>
      </c>
      <c r="E112" s="78" t="s">
        <v>4626</v>
      </c>
      <c r="F112" s="123" t="s">
        <v>49</v>
      </c>
      <c r="G112" s="85"/>
      <c r="H112" s="85"/>
      <c r="I112" s="85"/>
      <c r="J112" s="81"/>
    </row>
    <row r="113" spans="1:10" ht="70">
      <c r="A113" s="82">
        <v>164</v>
      </c>
      <c r="B113" s="83" t="s">
        <v>4907</v>
      </c>
      <c r="C113" s="84" t="s">
        <v>4908</v>
      </c>
      <c r="D113" s="85" t="s">
        <v>111</v>
      </c>
      <c r="E113" s="78" t="s">
        <v>4626</v>
      </c>
      <c r="F113" s="123" t="s">
        <v>49</v>
      </c>
      <c r="G113" s="85"/>
      <c r="H113" s="85"/>
      <c r="I113" s="85"/>
      <c r="J113" s="81"/>
    </row>
    <row r="114" spans="1:10" ht="28">
      <c r="A114" s="82">
        <v>178</v>
      </c>
      <c r="B114" s="83" t="s">
        <v>4934</v>
      </c>
      <c r="C114" s="84" t="s">
        <v>4935</v>
      </c>
      <c r="D114" s="85" t="s">
        <v>111</v>
      </c>
      <c r="E114" s="78" t="s">
        <v>4626</v>
      </c>
      <c r="F114" s="123" t="s">
        <v>49</v>
      </c>
      <c r="G114" s="85"/>
      <c r="H114" s="85"/>
      <c r="I114" s="85"/>
      <c r="J114" s="81"/>
    </row>
    <row r="115" spans="1:10" ht="28">
      <c r="A115" s="82">
        <v>181</v>
      </c>
      <c r="B115" s="83" t="s">
        <v>4940</v>
      </c>
      <c r="C115" s="84" t="s">
        <v>4941</v>
      </c>
      <c r="D115" s="85" t="s">
        <v>111</v>
      </c>
      <c r="E115" s="78" t="s">
        <v>4626</v>
      </c>
      <c r="F115" s="123" t="s">
        <v>49</v>
      </c>
      <c r="G115" s="85"/>
      <c r="H115" s="85"/>
      <c r="I115" s="85"/>
      <c r="J115" s="81"/>
    </row>
    <row r="116" spans="1:10" ht="28">
      <c r="A116" s="89">
        <v>182</v>
      </c>
      <c r="B116" s="90" t="s">
        <v>4942</v>
      </c>
      <c r="C116" s="96" t="s">
        <v>4943</v>
      </c>
      <c r="D116" s="92" t="s">
        <v>111</v>
      </c>
      <c r="E116" s="94" t="s">
        <v>4626</v>
      </c>
      <c r="F116" s="124" t="s">
        <v>49</v>
      </c>
      <c r="G116" s="92"/>
      <c r="H116" s="92"/>
      <c r="I116" s="92"/>
      <c r="J116" s="93"/>
    </row>
    <row r="117" spans="1:10" ht="28">
      <c r="A117" s="82">
        <v>183</v>
      </c>
      <c r="B117" s="83" t="s">
        <v>4944</v>
      </c>
      <c r="C117" s="84" t="s">
        <v>4945</v>
      </c>
      <c r="D117" s="85" t="s">
        <v>111</v>
      </c>
      <c r="E117" s="78" t="s">
        <v>4626</v>
      </c>
      <c r="F117" s="123" t="s">
        <v>49</v>
      </c>
      <c r="G117" s="85"/>
      <c r="H117" s="85"/>
      <c r="I117" s="85"/>
      <c r="J117" s="81"/>
    </row>
    <row r="118" spans="1:10" ht="28">
      <c r="A118" s="82">
        <v>184</v>
      </c>
      <c r="B118" s="83" t="s">
        <v>4946</v>
      </c>
      <c r="C118" s="84" t="s">
        <v>4947</v>
      </c>
      <c r="D118" s="85" t="s">
        <v>111</v>
      </c>
      <c r="E118" s="78" t="s">
        <v>4626</v>
      </c>
      <c r="F118" s="123" t="s">
        <v>49</v>
      </c>
      <c r="G118" s="85"/>
      <c r="H118" s="85"/>
      <c r="I118" s="85"/>
      <c r="J118" s="81"/>
    </row>
    <row r="119" spans="1:10" ht="28">
      <c r="A119" s="82">
        <v>185</v>
      </c>
      <c r="B119" s="83" t="s">
        <v>4948</v>
      </c>
      <c r="C119" s="84" t="s">
        <v>4949</v>
      </c>
      <c r="D119" s="85" t="s">
        <v>111</v>
      </c>
      <c r="E119" s="78" t="s">
        <v>4626</v>
      </c>
      <c r="F119" s="123" t="s">
        <v>49</v>
      </c>
      <c r="G119" s="85"/>
      <c r="H119" s="85"/>
      <c r="I119" s="85"/>
      <c r="J119" s="81"/>
    </row>
    <row r="120" spans="1:10" ht="28">
      <c r="A120" s="82">
        <v>187</v>
      </c>
      <c r="B120" s="83" t="s">
        <v>4952</v>
      </c>
      <c r="C120" s="84" t="s">
        <v>4953</v>
      </c>
      <c r="D120" s="85" t="s">
        <v>111</v>
      </c>
      <c r="E120" s="80" t="s">
        <v>4626</v>
      </c>
      <c r="F120" s="123" t="s">
        <v>49</v>
      </c>
      <c r="G120" s="85"/>
      <c r="H120" s="85"/>
      <c r="I120" s="85"/>
      <c r="J120" s="81"/>
    </row>
    <row r="121" spans="1:10" ht="56">
      <c r="A121" s="82">
        <v>189</v>
      </c>
      <c r="B121" s="83" t="s">
        <v>4956</v>
      </c>
      <c r="C121" s="84" t="s">
        <v>4957</v>
      </c>
      <c r="D121" s="85" t="s">
        <v>111</v>
      </c>
      <c r="E121" s="78" t="s">
        <v>4626</v>
      </c>
      <c r="F121" s="123" t="s">
        <v>49</v>
      </c>
      <c r="G121" s="85"/>
      <c r="H121" s="85"/>
      <c r="I121" s="85"/>
      <c r="J121" s="81"/>
    </row>
    <row r="122" spans="1:10" ht="28">
      <c r="A122" s="82">
        <v>190</v>
      </c>
      <c r="B122" s="83" t="s">
        <v>4958</v>
      </c>
      <c r="C122" s="84" t="s">
        <v>4959</v>
      </c>
      <c r="D122" s="85" t="s">
        <v>111</v>
      </c>
      <c r="E122" s="78" t="s">
        <v>4626</v>
      </c>
      <c r="F122" s="123" t="s">
        <v>49</v>
      </c>
      <c r="G122" s="85"/>
      <c r="H122" s="85"/>
      <c r="I122" s="85"/>
      <c r="J122" s="81"/>
    </row>
    <row r="123" spans="1:10" ht="28">
      <c r="A123" s="82">
        <v>191</v>
      </c>
      <c r="B123" s="83" t="s">
        <v>4960</v>
      </c>
      <c r="C123" s="84" t="s">
        <v>4961</v>
      </c>
      <c r="D123" s="85" t="s">
        <v>111</v>
      </c>
      <c r="E123" s="78" t="s">
        <v>4626</v>
      </c>
      <c r="F123" s="123" t="s">
        <v>49</v>
      </c>
      <c r="G123" s="85"/>
      <c r="H123" s="85"/>
      <c r="I123" s="85"/>
      <c r="J123" s="81"/>
    </row>
    <row r="124" spans="1:10" ht="28">
      <c r="A124" s="82">
        <v>192</v>
      </c>
      <c r="B124" s="83" t="s">
        <v>4962</v>
      </c>
      <c r="C124" s="84" t="s">
        <v>4963</v>
      </c>
      <c r="D124" s="85" t="s">
        <v>111</v>
      </c>
      <c r="E124" s="78" t="s">
        <v>4626</v>
      </c>
      <c r="F124" s="123" t="s">
        <v>49</v>
      </c>
      <c r="G124" s="85"/>
      <c r="H124" s="85"/>
      <c r="I124" s="85"/>
      <c r="J124" s="81"/>
    </row>
    <row r="125" spans="1:10" ht="28">
      <c r="A125" s="82">
        <v>193</v>
      </c>
      <c r="B125" s="83" t="s">
        <v>4964</v>
      </c>
      <c r="C125" s="84" t="s">
        <v>4965</v>
      </c>
      <c r="D125" s="85" t="s">
        <v>111</v>
      </c>
      <c r="E125" s="78" t="s">
        <v>4626</v>
      </c>
      <c r="F125" s="123" t="s">
        <v>49</v>
      </c>
      <c r="G125" s="85"/>
      <c r="H125" s="85"/>
      <c r="I125" s="85"/>
      <c r="J125" s="81"/>
    </row>
    <row r="126" spans="1:10" ht="28">
      <c r="A126" s="82">
        <v>194</v>
      </c>
      <c r="B126" s="83" t="s">
        <v>699</v>
      </c>
      <c r="C126" s="84" t="s">
        <v>4966</v>
      </c>
      <c r="D126" s="85" t="s">
        <v>111</v>
      </c>
      <c r="E126" s="78" t="s">
        <v>4626</v>
      </c>
      <c r="F126" s="123" t="s">
        <v>49</v>
      </c>
      <c r="G126" s="85"/>
      <c r="H126" s="85"/>
      <c r="I126" s="85"/>
      <c r="J126" s="81"/>
    </row>
    <row r="127" spans="1:10" ht="28">
      <c r="A127" s="82">
        <v>195</v>
      </c>
      <c r="B127" s="83" t="s">
        <v>4967</v>
      </c>
      <c r="C127" s="84" t="s">
        <v>4968</v>
      </c>
      <c r="D127" s="85" t="s">
        <v>111</v>
      </c>
      <c r="E127" s="85"/>
      <c r="F127" s="123" t="s">
        <v>49</v>
      </c>
      <c r="G127" s="85"/>
      <c r="H127" s="85"/>
      <c r="I127" s="85"/>
      <c r="J127" s="81"/>
    </row>
    <row r="128" spans="1:10" ht="28">
      <c r="A128" s="82">
        <v>197</v>
      </c>
      <c r="B128" s="83" t="s">
        <v>4971</v>
      </c>
      <c r="C128" s="84" t="s">
        <v>4972</v>
      </c>
      <c r="D128" s="85" t="s">
        <v>111</v>
      </c>
      <c r="E128" s="78" t="s">
        <v>4626</v>
      </c>
      <c r="F128" s="123" t="s">
        <v>49</v>
      </c>
      <c r="G128" s="85"/>
      <c r="H128" s="85"/>
      <c r="I128" s="85"/>
      <c r="J128" s="81"/>
    </row>
    <row r="129" spans="1:10" ht="28">
      <c r="A129" s="82">
        <v>198</v>
      </c>
      <c r="B129" s="83" t="s">
        <v>4973</v>
      </c>
      <c r="C129" s="84" t="s">
        <v>4974</v>
      </c>
      <c r="D129" s="85" t="s">
        <v>111</v>
      </c>
      <c r="E129" s="78" t="s">
        <v>4626</v>
      </c>
      <c r="F129" s="85" t="s">
        <v>49</v>
      </c>
      <c r="G129" s="85"/>
      <c r="H129" s="85"/>
      <c r="I129" s="85"/>
      <c r="J129" s="81"/>
    </row>
    <row r="130" spans="1:10" ht="28">
      <c r="A130" s="82">
        <v>202</v>
      </c>
      <c r="B130" s="83" t="s">
        <v>4981</v>
      </c>
      <c r="C130" s="84" t="s">
        <v>4982</v>
      </c>
      <c r="D130" s="85" t="s">
        <v>111</v>
      </c>
      <c r="E130" s="78" t="s">
        <v>4626</v>
      </c>
      <c r="F130" s="123" t="s">
        <v>49</v>
      </c>
      <c r="G130" s="85"/>
      <c r="H130" s="85"/>
      <c r="I130" s="85"/>
      <c r="J130" s="81"/>
    </row>
    <row r="131" spans="1:10" ht="28">
      <c r="A131" s="82">
        <v>203</v>
      </c>
      <c r="B131" s="83" t="s">
        <v>4983</v>
      </c>
      <c r="C131" s="84" t="s">
        <v>4984</v>
      </c>
      <c r="D131" s="85" t="s">
        <v>111</v>
      </c>
      <c r="E131" s="78" t="s">
        <v>4626</v>
      </c>
      <c r="F131" s="123" t="s">
        <v>49</v>
      </c>
      <c r="G131" s="85"/>
      <c r="H131" s="85"/>
      <c r="I131" s="85"/>
      <c r="J131" s="81"/>
    </row>
    <row r="132" spans="1:10" ht="28">
      <c r="A132" s="82">
        <v>204</v>
      </c>
      <c r="B132" s="83" t="s">
        <v>4985</v>
      </c>
      <c r="C132" s="84" t="s">
        <v>4986</v>
      </c>
      <c r="D132" s="85" t="s">
        <v>111</v>
      </c>
      <c r="E132" s="78" t="s">
        <v>4626</v>
      </c>
      <c r="F132" s="85" t="s">
        <v>49</v>
      </c>
      <c r="G132" s="85"/>
      <c r="H132" s="85"/>
      <c r="I132" s="85"/>
      <c r="J132" s="81"/>
    </row>
    <row r="133" spans="1:10" ht="28">
      <c r="A133" s="82">
        <v>205</v>
      </c>
      <c r="B133" s="83" t="s">
        <v>4987</v>
      </c>
      <c r="C133" s="84" t="s">
        <v>4988</v>
      </c>
      <c r="D133" s="85" t="s">
        <v>111</v>
      </c>
      <c r="E133" s="78" t="s">
        <v>4626</v>
      </c>
      <c r="F133" s="85" t="s">
        <v>49</v>
      </c>
      <c r="G133" s="85"/>
      <c r="H133" s="85"/>
      <c r="I133" s="85"/>
      <c r="J133" s="81"/>
    </row>
    <row r="134" spans="1:10" ht="42">
      <c r="A134" s="82">
        <v>214</v>
      </c>
      <c r="B134" s="83" t="s">
        <v>5004</v>
      </c>
      <c r="C134" s="84" t="s">
        <v>5005</v>
      </c>
      <c r="D134" s="85" t="s">
        <v>111</v>
      </c>
      <c r="E134" s="78" t="s">
        <v>4626</v>
      </c>
      <c r="F134" s="123" t="s">
        <v>49</v>
      </c>
      <c r="G134" s="85"/>
      <c r="H134" s="85"/>
      <c r="I134" s="85"/>
      <c r="J134" s="81"/>
    </row>
    <row r="135" spans="1:10" ht="28">
      <c r="A135" s="82">
        <v>215</v>
      </c>
      <c r="B135" s="83" t="s">
        <v>5006</v>
      </c>
      <c r="C135" s="84" t="s">
        <v>5007</v>
      </c>
      <c r="D135" s="85" t="s">
        <v>111</v>
      </c>
      <c r="E135" s="78" t="s">
        <v>4626</v>
      </c>
      <c r="F135" s="85" t="s">
        <v>49</v>
      </c>
      <c r="G135" s="85"/>
      <c r="H135" s="85"/>
      <c r="I135" s="85"/>
      <c r="J135" s="81"/>
    </row>
    <row r="136" spans="1:10" ht="28">
      <c r="A136" s="82">
        <v>218</v>
      </c>
      <c r="B136" s="83" t="s">
        <v>5012</v>
      </c>
      <c r="C136" s="84" t="s">
        <v>5013</v>
      </c>
      <c r="D136" s="85" t="s">
        <v>111</v>
      </c>
      <c r="E136" s="78" t="s">
        <v>4626</v>
      </c>
      <c r="F136" s="85" t="s">
        <v>49</v>
      </c>
      <c r="G136" s="85"/>
      <c r="H136" s="85"/>
      <c r="I136" s="85"/>
      <c r="J136" s="81"/>
    </row>
    <row r="137" spans="1:10" ht="28">
      <c r="A137" s="82">
        <v>219</v>
      </c>
      <c r="B137" s="83" t="s">
        <v>5014</v>
      </c>
      <c r="C137" s="84" t="s">
        <v>5015</v>
      </c>
      <c r="D137" s="85" t="s">
        <v>111</v>
      </c>
      <c r="E137" s="78" t="s">
        <v>4626</v>
      </c>
      <c r="F137" s="85" t="s">
        <v>49</v>
      </c>
      <c r="G137" s="85"/>
      <c r="H137" s="85"/>
      <c r="I137" s="85"/>
      <c r="J137" s="81"/>
    </row>
    <row r="138" spans="1:10" ht="28">
      <c r="A138" s="82">
        <v>220</v>
      </c>
      <c r="B138" s="83" t="s">
        <v>5016</v>
      </c>
      <c r="C138" s="84" t="s">
        <v>5017</v>
      </c>
      <c r="D138" s="85" t="s">
        <v>111</v>
      </c>
      <c r="E138" s="78" t="s">
        <v>4626</v>
      </c>
      <c r="F138" s="123" t="s">
        <v>49</v>
      </c>
      <c r="G138" s="85"/>
      <c r="H138" s="85"/>
      <c r="I138" s="85"/>
      <c r="J138" s="81"/>
    </row>
    <row r="139" spans="1:10" ht="28">
      <c r="A139" s="82">
        <v>221</v>
      </c>
      <c r="B139" s="83" t="s">
        <v>5018</v>
      </c>
      <c r="C139" s="84" t="s">
        <v>5019</v>
      </c>
      <c r="D139" s="85" t="s">
        <v>111</v>
      </c>
      <c r="E139" s="78" t="s">
        <v>4626</v>
      </c>
      <c r="F139" s="123" t="s">
        <v>49</v>
      </c>
      <c r="G139" s="85"/>
      <c r="H139" s="85"/>
      <c r="I139" s="85"/>
      <c r="J139" s="81"/>
    </row>
    <row r="140" spans="1:10" ht="28">
      <c r="A140" s="82">
        <v>222</v>
      </c>
      <c r="B140" s="83" t="s">
        <v>5020</v>
      </c>
      <c r="C140" s="84" t="s">
        <v>5021</v>
      </c>
      <c r="D140" s="85" t="s">
        <v>111</v>
      </c>
      <c r="E140" s="78" t="s">
        <v>4626</v>
      </c>
      <c r="F140" s="85" t="s">
        <v>49</v>
      </c>
      <c r="G140" s="85"/>
      <c r="H140" s="85"/>
      <c r="I140" s="85"/>
      <c r="J140" s="81"/>
    </row>
    <row r="141" spans="1:10" ht="28">
      <c r="A141" s="82">
        <v>223</v>
      </c>
      <c r="B141" s="83" t="s">
        <v>5022</v>
      </c>
      <c r="C141" s="84" t="s">
        <v>5023</v>
      </c>
      <c r="D141" s="85" t="s">
        <v>111</v>
      </c>
      <c r="E141" s="78" t="s">
        <v>4626</v>
      </c>
      <c r="F141" s="123" t="s">
        <v>49</v>
      </c>
      <c r="G141" s="85"/>
      <c r="H141" s="85"/>
      <c r="I141" s="85"/>
      <c r="J141" s="81"/>
    </row>
    <row r="142" spans="1:10" ht="28">
      <c r="A142" s="82">
        <v>224</v>
      </c>
      <c r="B142" s="83" t="s">
        <v>5024</v>
      </c>
      <c r="C142" s="84" t="s">
        <v>5025</v>
      </c>
      <c r="D142" s="85" t="s">
        <v>111</v>
      </c>
      <c r="E142" s="78" t="s">
        <v>4626</v>
      </c>
      <c r="F142" s="123" t="s">
        <v>49</v>
      </c>
      <c r="G142" s="85"/>
      <c r="H142" s="85"/>
      <c r="I142" s="85"/>
      <c r="J142" s="81"/>
    </row>
    <row r="143" spans="1:10" ht="28">
      <c r="A143" s="82">
        <v>225</v>
      </c>
      <c r="B143" s="83" t="s">
        <v>5026</v>
      </c>
      <c r="C143" s="84" t="s">
        <v>5027</v>
      </c>
      <c r="D143" s="85" t="s">
        <v>111</v>
      </c>
      <c r="E143" s="85"/>
      <c r="F143" s="123" t="s">
        <v>49</v>
      </c>
      <c r="G143" s="85"/>
      <c r="H143" s="85"/>
      <c r="I143" s="85"/>
      <c r="J143" s="81"/>
    </row>
    <row r="144" spans="1:10" ht="28">
      <c r="A144" s="82">
        <v>226</v>
      </c>
      <c r="B144" s="83" t="s">
        <v>5028</v>
      </c>
      <c r="C144" s="84" t="s">
        <v>5029</v>
      </c>
      <c r="D144" s="85" t="s">
        <v>111</v>
      </c>
      <c r="E144" s="78" t="s">
        <v>4626</v>
      </c>
      <c r="F144" s="85" t="s">
        <v>49</v>
      </c>
      <c r="G144" s="85"/>
      <c r="H144" s="85"/>
      <c r="I144" s="85"/>
      <c r="J144" s="81"/>
    </row>
    <row r="145" spans="1:10" ht="28">
      <c r="A145" s="82">
        <v>227</v>
      </c>
      <c r="B145" s="83" t="s">
        <v>5030</v>
      </c>
      <c r="C145" s="84" t="s">
        <v>5031</v>
      </c>
      <c r="D145" s="85" t="s">
        <v>111</v>
      </c>
      <c r="E145" s="78" t="s">
        <v>4626</v>
      </c>
      <c r="F145" s="85" t="s">
        <v>49</v>
      </c>
      <c r="G145" s="85"/>
      <c r="H145" s="85"/>
      <c r="I145" s="85"/>
      <c r="J145" s="81"/>
    </row>
    <row r="146" spans="1:10" ht="28">
      <c r="A146" s="82">
        <v>230</v>
      </c>
      <c r="B146" s="83" t="s">
        <v>5036</v>
      </c>
      <c r="C146" s="84" t="s">
        <v>5037</v>
      </c>
      <c r="D146" s="85" t="s">
        <v>111</v>
      </c>
      <c r="E146" s="78" t="s">
        <v>4626</v>
      </c>
      <c r="F146" s="123" t="s">
        <v>49</v>
      </c>
      <c r="G146" s="85"/>
      <c r="H146" s="85"/>
      <c r="I146" s="85"/>
      <c r="J146" s="81"/>
    </row>
    <row r="147" spans="1:10" ht="28">
      <c r="A147" s="82">
        <v>231</v>
      </c>
      <c r="B147" s="83" t="s">
        <v>5038</v>
      </c>
      <c r="C147" s="84" t="s">
        <v>5039</v>
      </c>
      <c r="D147" s="85" t="s">
        <v>111</v>
      </c>
      <c r="E147" s="85"/>
      <c r="F147" s="85" t="s">
        <v>49</v>
      </c>
      <c r="G147" s="85"/>
      <c r="H147" s="85"/>
      <c r="I147" s="85"/>
      <c r="J147" s="81"/>
    </row>
    <row r="148" spans="1:10" ht="28">
      <c r="A148" s="82">
        <v>233</v>
      </c>
      <c r="B148" s="83" t="s">
        <v>5042</v>
      </c>
      <c r="C148" s="84" t="s">
        <v>5043</v>
      </c>
      <c r="D148" s="85" t="s">
        <v>111</v>
      </c>
      <c r="E148" s="78" t="s">
        <v>4626</v>
      </c>
      <c r="F148" s="85" t="s">
        <v>49</v>
      </c>
      <c r="G148" s="85"/>
      <c r="H148" s="85"/>
      <c r="I148" s="85"/>
      <c r="J148" s="81"/>
    </row>
    <row r="149" spans="1:10" ht="42">
      <c r="A149" s="82">
        <v>235</v>
      </c>
      <c r="B149" s="83" t="s">
        <v>5046</v>
      </c>
      <c r="C149" s="84" t="s">
        <v>5047</v>
      </c>
      <c r="D149" s="85" t="s">
        <v>111</v>
      </c>
      <c r="E149" s="78" t="s">
        <v>4626</v>
      </c>
      <c r="F149" s="85" t="s">
        <v>49</v>
      </c>
      <c r="G149" s="85"/>
      <c r="H149" s="85"/>
      <c r="I149" s="85"/>
      <c r="J149" s="81"/>
    </row>
    <row r="150" spans="1:10" ht="28">
      <c r="A150" s="82">
        <v>236</v>
      </c>
      <c r="B150" s="83" t="s">
        <v>5048</v>
      </c>
      <c r="C150" s="84" t="s">
        <v>5049</v>
      </c>
      <c r="D150" s="85" t="s">
        <v>111</v>
      </c>
      <c r="E150" s="78" t="s">
        <v>4626</v>
      </c>
      <c r="F150" s="123" t="s">
        <v>49</v>
      </c>
      <c r="G150" s="85"/>
      <c r="H150" s="85"/>
      <c r="I150" s="85"/>
      <c r="J150" s="81"/>
    </row>
    <row r="151" spans="1:10" ht="28">
      <c r="A151" s="82">
        <v>241</v>
      </c>
      <c r="B151" s="83" t="s">
        <v>5057</v>
      </c>
      <c r="C151" s="84" t="s">
        <v>5058</v>
      </c>
      <c r="D151" s="85" t="s">
        <v>111</v>
      </c>
      <c r="E151" s="78" t="s">
        <v>4626</v>
      </c>
      <c r="F151" s="123" t="s">
        <v>49</v>
      </c>
      <c r="G151" s="85"/>
      <c r="H151" s="85"/>
      <c r="I151" s="85"/>
      <c r="J151" s="81"/>
    </row>
    <row r="152" spans="1:10" ht="28">
      <c r="A152" s="82">
        <v>242</v>
      </c>
      <c r="B152" s="83" t="s">
        <v>5059</v>
      </c>
      <c r="C152" s="84" t="s">
        <v>5060</v>
      </c>
      <c r="D152" s="85" t="s">
        <v>111</v>
      </c>
      <c r="E152" s="78" t="s">
        <v>4626</v>
      </c>
      <c r="F152" s="123" t="s">
        <v>49</v>
      </c>
      <c r="G152" s="85"/>
      <c r="H152" s="85"/>
      <c r="I152" s="85"/>
      <c r="J152" s="81"/>
    </row>
    <row r="153" spans="1:10" ht="28">
      <c r="A153" s="82">
        <v>244</v>
      </c>
      <c r="B153" s="83" t="s">
        <v>5062</v>
      </c>
      <c r="C153" s="84" t="s">
        <v>5063</v>
      </c>
      <c r="D153" s="85" t="s">
        <v>111</v>
      </c>
      <c r="E153" s="78" t="s">
        <v>4626</v>
      </c>
      <c r="F153" s="85" t="s">
        <v>49</v>
      </c>
      <c r="G153" s="85"/>
      <c r="H153" s="85"/>
      <c r="I153" s="85"/>
      <c r="J153" s="81"/>
    </row>
    <row r="154" spans="1:10" ht="28">
      <c r="A154" s="82">
        <v>245</v>
      </c>
      <c r="B154" s="83" t="s">
        <v>5064</v>
      </c>
      <c r="C154" s="84" t="s">
        <v>5065</v>
      </c>
      <c r="D154" s="85" t="s">
        <v>111</v>
      </c>
      <c r="E154" s="78" t="s">
        <v>4626</v>
      </c>
      <c r="F154" s="123" t="s">
        <v>49</v>
      </c>
      <c r="G154" s="85"/>
      <c r="H154" s="85"/>
      <c r="I154" s="85"/>
      <c r="J154" s="81"/>
    </row>
    <row r="155" spans="1:10" ht="28">
      <c r="A155" s="82">
        <v>250</v>
      </c>
      <c r="B155" s="83" t="s">
        <v>5072</v>
      </c>
      <c r="C155" s="84" t="s">
        <v>5073</v>
      </c>
      <c r="D155" s="85" t="s">
        <v>111</v>
      </c>
      <c r="E155" s="85"/>
      <c r="F155" s="85" t="s">
        <v>49</v>
      </c>
      <c r="G155" s="85"/>
      <c r="H155" s="85"/>
      <c r="I155" s="85"/>
      <c r="J155" s="81"/>
    </row>
    <row r="156" spans="1:10" ht="28">
      <c r="A156" s="82">
        <v>251</v>
      </c>
      <c r="B156" s="83" t="s">
        <v>5074</v>
      </c>
      <c r="C156" s="84" t="s">
        <v>5075</v>
      </c>
      <c r="D156" s="85" t="s">
        <v>111</v>
      </c>
      <c r="E156" s="85"/>
      <c r="F156" s="123" t="s">
        <v>49</v>
      </c>
      <c r="G156" s="85"/>
      <c r="H156" s="85"/>
      <c r="I156" s="85"/>
      <c r="J156" s="81"/>
    </row>
    <row r="157" spans="1:10">
      <c r="A157" s="82"/>
      <c r="B157" s="83"/>
      <c r="C157" s="120" t="s">
        <v>95</v>
      </c>
      <c r="D157" s="122">
        <f>COUNTA(D45:D156)</f>
        <v>112</v>
      </c>
      <c r="E157" s="85"/>
      <c r="F157" s="123"/>
      <c r="G157" s="85"/>
      <c r="H157" s="85"/>
      <c r="I157" s="85"/>
      <c r="J157" s="81"/>
    </row>
    <row r="158" spans="1:10">
      <c r="A158" s="82"/>
      <c r="B158" s="83"/>
      <c r="C158" s="84"/>
      <c r="D158" s="85"/>
      <c r="E158" s="85"/>
      <c r="F158" s="123"/>
      <c r="G158" s="85"/>
      <c r="H158" s="85"/>
      <c r="I158" s="85"/>
      <c r="J158" s="81"/>
    </row>
    <row r="159" spans="1:10" ht="28">
      <c r="A159" s="82">
        <v>3</v>
      </c>
      <c r="B159" s="83" t="s">
        <v>4598</v>
      </c>
      <c r="C159" s="84" t="s">
        <v>4599</v>
      </c>
      <c r="D159" s="86" t="s">
        <v>279</v>
      </c>
      <c r="E159" s="78"/>
      <c r="F159" s="117" t="s">
        <v>49</v>
      </c>
      <c r="G159" s="85"/>
      <c r="H159" s="85"/>
      <c r="I159" s="85"/>
      <c r="J159" s="81"/>
    </row>
    <row r="160" spans="1:10" ht="28">
      <c r="A160" s="82">
        <v>4</v>
      </c>
      <c r="B160" s="83" t="s">
        <v>4600</v>
      </c>
      <c r="C160" s="84" t="s">
        <v>4601</v>
      </c>
      <c r="D160" s="86" t="s">
        <v>279</v>
      </c>
      <c r="E160" s="78"/>
      <c r="F160" s="86" t="s">
        <v>49</v>
      </c>
      <c r="G160" s="85"/>
      <c r="H160" s="85"/>
      <c r="I160" s="85"/>
      <c r="J160" s="81"/>
    </row>
    <row r="161" spans="1:10" ht="28">
      <c r="A161" s="82">
        <v>6</v>
      </c>
      <c r="B161" s="83" t="s">
        <v>4604</v>
      </c>
      <c r="C161" s="84" t="s">
        <v>4605</v>
      </c>
      <c r="D161" s="86" t="s">
        <v>279</v>
      </c>
      <c r="E161" s="78"/>
      <c r="F161" s="86" t="s">
        <v>49</v>
      </c>
      <c r="G161" s="85"/>
      <c r="H161" s="85"/>
      <c r="I161" s="85"/>
      <c r="J161" s="81"/>
    </row>
    <row r="162" spans="1:10" ht="28">
      <c r="A162" s="82">
        <v>7</v>
      </c>
      <c r="B162" s="83" t="s">
        <v>4606</v>
      </c>
      <c r="C162" s="84" t="s">
        <v>4607</v>
      </c>
      <c r="D162" s="86" t="s">
        <v>279</v>
      </c>
      <c r="E162" s="78"/>
      <c r="F162" s="86" t="s">
        <v>49</v>
      </c>
      <c r="G162" s="85"/>
      <c r="H162" s="85"/>
      <c r="I162" s="85"/>
      <c r="J162" s="81"/>
    </row>
    <row r="163" spans="1:10" ht="28">
      <c r="A163" s="82">
        <v>8</v>
      </c>
      <c r="B163" s="83" t="s">
        <v>4608</v>
      </c>
      <c r="C163" s="84" t="s">
        <v>4609</v>
      </c>
      <c r="D163" s="86" t="s">
        <v>279</v>
      </c>
      <c r="E163" s="78"/>
      <c r="F163" s="117" t="s">
        <v>49</v>
      </c>
      <c r="G163" s="85"/>
      <c r="H163" s="85"/>
      <c r="I163" s="85"/>
      <c r="J163" s="81"/>
    </row>
    <row r="164" spans="1:10" ht="28">
      <c r="A164" s="82">
        <v>9</v>
      </c>
      <c r="B164" s="83" t="s">
        <v>4610</v>
      </c>
      <c r="C164" s="84" t="s">
        <v>4611</v>
      </c>
      <c r="D164" s="86" t="s">
        <v>279</v>
      </c>
      <c r="E164" s="78"/>
      <c r="F164" s="86" t="s">
        <v>49</v>
      </c>
      <c r="G164" s="85"/>
      <c r="H164" s="85"/>
      <c r="I164" s="85"/>
      <c r="J164" s="81"/>
    </row>
    <row r="165" spans="1:10" ht="28">
      <c r="A165" s="82">
        <v>10</v>
      </c>
      <c r="B165" s="83" t="s">
        <v>4612</v>
      </c>
      <c r="C165" s="84" t="s">
        <v>4613</v>
      </c>
      <c r="D165" s="86" t="s">
        <v>279</v>
      </c>
      <c r="E165" s="78"/>
      <c r="F165" s="86" t="s">
        <v>49</v>
      </c>
      <c r="G165" s="85"/>
      <c r="H165" s="85"/>
      <c r="I165" s="85"/>
      <c r="J165" s="81"/>
    </row>
    <row r="166" spans="1:10" ht="28">
      <c r="A166" s="82">
        <v>11</v>
      </c>
      <c r="B166" s="83" t="s">
        <v>4614</v>
      </c>
      <c r="C166" s="84" t="s">
        <v>4615</v>
      </c>
      <c r="D166" s="86" t="s">
        <v>279</v>
      </c>
      <c r="E166" s="78"/>
      <c r="F166" s="86" t="s">
        <v>49</v>
      </c>
      <c r="G166" s="85"/>
      <c r="H166" s="85"/>
      <c r="I166" s="85"/>
      <c r="J166" s="81"/>
    </row>
    <row r="167" spans="1:10" ht="28">
      <c r="A167" s="82">
        <v>12</v>
      </c>
      <c r="B167" s="83" t="s">
        <v>4616</v>
      </c>
      <c r="C167" s="84" t="s">
        <v>4617</v>
      </c>
      <c r="D167" s="86" t="s">
        <v>279</v>
      </c>
      <c r="E167" s="78"/>
      <c r="F167" s="117" t="s">
        <v>49</v>
      </c>
      <c r="G167" s="85"/>
      <c r="H167" s="85"/>
      <c r="I167" s="85"/>
      <c r="J167" s="81"/>
    </row>
    <row r="168" spans="1:10" ht="28">
      <c r="A168" s="82">
        <v>13</v>
      </c>
      <c r="B168" s="83" t="s">
        <v>4618</v>
      </c>
      <c r="C168" s="84" t="s">
        <v>4619</v>
      </c>
      <c r="D168" s="86" t="s">
        <v>279</v>
      </c>
      <c r="E168" s="78"/>
      <c r="F168" s="86" t="s">
        <v>49</v>
      </c>
      <c r="G168" s="85"/>
      <c r="H168" s="85"/>
      <c r="I168" s="85"/>
      <c r="J168" s="81"/>
    </row>
    <row r="169" spans="1:10" ht="28">
      <c r="A169" s="82">
        <v>14</v>
      </c>
      <c r="B169" s="83" t="s">
        <v>4620</v>
      </c>
      <c r="C169" s="84" t="s">
        <v>4621</v>
      </c>
      <c r="D169" s="86" t="s">
        <v>279</v>
      </c>
      <c r="E169" s="78"/>
      <c r="F169" s="86" t="s">
        <v>49</v>
      </c>
      <c r="G169" s="85"/>
      <c r="H169" s="85"/>
      <c r="I169" s="85"/>
      <c r="J169" s="81"/>
    </row>
    <row r="170" spans="1:10" ht="28">
      <c r="A170" s="82">
        <v>18</v>
      </c>
      <c r="B170" s="83" t="s">
        <v>4629</v>
      </c>
      <c r="C170" s="84" t="s">
        <v>4630</v>
      </c>
      <c r="D170" s="87" t="s">
        <v>279</v>
      </c>
      <c r="E170" s="78"/>
      <c r="F170" s="87" t="s">
        <v>49</v>
      </c>
      <c r="G170" s="85"/>
      <c r="H170" s="85"/>
      <c r="I170" s="85"/>
      <c r="J170" s="81"/>
    </row>
    <row r="171" spans="1:10" ht="28">
      <c r="A171" s="82">
        <v>20</v>
      </c>
      <c r="B171" s="83" t="s">
        <v>4633</v>
      </c>
      <c r="C171" s="84" t="s">
        <v>4634</v>
      </c>
      <c r="D171" s="87" t="s">
        <v>279</v>
      </c>
      <c r="E171" s="78"/>
      <c r="F171" s="88" t="s">
        <v>49</v>
      </c>
      <c r="G171" s="85"/>
      <c r="H171" s="85"/>
      <c r="I171" s="85"/>
      <c r="J171" s="81"/>
    </row>
    <row r="172" spans="1:10" ht="28">
      <c r="A172" s="82">
        <v>28</v>
      </c>
      <c r="B172" s="83" t="s">
        <v>4649</v>
      </c>
      <c r="C172" s="84" t="s">
        <v>4650</v>
      </c>
      <c r="D172" s="87" t="s">
        <v>279</v>
      </c>
      <c r="E172" s="78"/>
      <c r="F172" s="87" t="s">
        <v>49</v>
      </c>
      <c r="G172" s="85"/>
      <c r="H172" s="85"/>
      <c r="I172" s="85"/>
      <c r="J172" s="81"/>
    </row>
    <row r="173" spans="1:10" ht="28">
      <c r="A173" s="82">
        <v>29</v>
      </c>
      <c r="B173" s="83" t="s">
        <v>4651</v>
      </c>
      <c r="C173" s="84" t="s">
        <v>4652</v>
      </c>
      <c r="D173" s="87" t="s">
        <v>279</v>
      </c>
      <c r="E173" s="78"/>
      <c r="F173" s="87" t="s">
        <v>49</v>
      </c>
      <c r="G173" s="85"/>
      <c r="H173" s="85"/>
      <c r="I173" s="85"/>
      <c r="J173" s="81"/>
    </row>
    <row r="174" spans="1:10" ht="28">
      <c r="A174" s="82">
        <v>30</v>
      </c>
      <c r="B174" s="83" t="s">
        <v>4653</v>
      </c>
      <c r="C174" s="84" t="s">
        <v>4654</v>
      </c>
      <c r="D174" s="87" t="s">
        <v>279</v>
      </c>
      <c r="E174" s="78"/>
      <c r="F174" s="87" t="s">
        <v>49</v>
      </c>
      <c r="G174" s="85"/>
      <c r="H174" s="85"/>
      <c r="I174" s="85"/>
      <c r="J174" s="81"/>
    </row>
    <row r="175" spans="1:10" ht="28">
      <c r="A175" s="82">
        <v>38</v>
      </c>
      <c r="B175" s="83" t="s">
        <v>134</v>
      </c>
      <c r="C175" s="84" t="s">
        <v>4669</v>
      </c>
      <c r="D175" s="87" t="s">
        <v>279</v>
      </c>
      <c r="E175" s="78"/>
      <c r="F175" s="88" t="s">
        <v>49</v>
      </c>
      <c r="G175" s="85"/>
      <c r="H175" s="85"/>
      <c r="I175" s="85"/>
      <c r="J175" s="81"/>
    </row>
    <row r="176" spans="1:10" ht="28">
      <c r="A176" s="82">
        <v>41</v>
      </c>
      <c r="B176" s="83" t="s">
        <v>4674</v>
      </c>
      <c r="C176" s="84" t="s">
        <v>4675</v>
      </c>
      <c r="D176" s="87" t="s">
        <v>279</v>
      </c>
      <c r="E176" s="78"/>
      <c r="F176" s="88" t="s">
        <v>49</v>
      </c>
      <c r="G176" s="85"/>
      <c r="H176" s="85"/>
      <c r="I176" s="85"/>
      <c r="J176" s="81"/>
    </row>
    <row r="177" spans="1:10" ht="28">
      <c r="A177" s="82">
        <v>47</v>
      </c>
      <c r="B177" s="83" t="s">
        <v>4686</v>
      </c>
      <c r="C177" s="84" t="s">
        <v>4687</v>
      </c>
      <c r="D177" s="87" t="s">
        <v>279</v>
      </c>
      <c r="E177" s="78"/>
      <c r="F177" s="87" t="s">
        <v>49</v>
      </c>
      <c r="G177" s="85"/>
      <c r="H177" s="85"/>
      <c r="I177" s="85"/>
      <c r="J177" s="81"/>
    </row>
    <row r="178" spans="1:10" ht="28">
      <c r="A178" s="82">
        <v>48</v>
      </c>
      <c r="B178" s="83" t="s">
        <v>4688</v>
      </c>
      <c r="C178" s="84" t="s">
        <v>4689</v>
      </c>
      <c r="D178" s="87" t="s">
        <v>279</v>
      </c>
      <c r="E178" s="78"/>
      <c r="F178" s="87" t="s">
        <v>49</v>
      </c>
      <c r="G178" s="85"/>
      <c r="H178" s="85"/>
      <c r="I178" s="85"/>
      <c r="J178" s="81"/>
    </row>
    <row r="179" spans="1:10" ht="28">
      <c r="A179" s="82">
        <v>49</v>
      </c>
      <c r="B179" s="83" t="s">
        <v>4690</v>
      </c>
      <c r="C179" s="84" t="s">
        <v>4691</v>
      </c>
      <c r="D179" s="87" t="s">
        <v>279</v>
      </c>
      <c r="E179" s="78"/>
      <c r="F179" s="88" t="s">
        <v>49</v>
      </c>
      <c r="G179" s="85"/>
      <c r="H179" s="85"/>
      <c r="I179" s="85"/>
      <c r="J179" s="81"/>
    </row>
    <row r="180" spans="1:10" ht="28">
      <c r="A180" s="82">
        <v>50</v>
      </c>
      <c r="B180" s="83" t="s">
        <v>4692</v>
      </c>
      <c r="C180" s="84" t="s">
        <v>4693</v>
      </c>
      <c r="D180" s="87" t="s">
        <v>279</v>
      </c>
      <c r="E180" s="78"/>
      <c r="F180" s="88" t="s">
        <v>49</v>
      </c>
      <c r="G180" s="85"/>
      <c r="H180" s="85"/>
      <c r="I180" s="85"/>
      <c r="J180" s="81"/>
    </row>
    <row r="181" spans="1:10" ht="28">
      <c r="A181" s="82">
        <v>51</v>
      </c>
      <c r="B181" s="83" t="s">
        <v>4694</v>
      </c>
      <c r="C181" s="84" t="s">
        <v>4695</v>
      </c>
      <c r="D181" s="87" t="s">
        <v>279</v>
      </c>
      <c r="E181" s="78"/>
      <c r="F181" s="88" t="s">
        <v>49</v>
      </c>
      <c r="G181" s="85"/>
      <c r="H181" s="85"/>
      <c r="I181" s="85"/>
      <c r="J181" s="81"/>
    </row>
    <row r="182" spans="1:10" ht="28">
      <c r="A182" s="82">
        <v>52</v>
      </c>
      <c r="B182" s="83" t="s">
        <v>4696</v>
      </c>
      <c r="C182" s="84" t="s">
        <v>4697</v>
      </c>
      <c r="D182" s="87" t="s">
        <v>279</v>
      </c>
      <c r="E182" s="78"/>
      <c r="F182" s="88" t="s">
        <v>49</v>
      </c>
      <c r="G182" s="85"/>
      <c r="H182" s="85"/>
      <c r="I182" s="85"/>
      <c r="J182" s="81"/>
    </row>
    <row r="183" spans="1:10" ht="28">
      <c r="A183" s="82">
        <v>53</v>
      </c>
      <c r="B183" s="83" t="s">
        <v>4698</v>
      </c>
      <c r="C183" s="84" t="s">
        <v>4699</v>
      </c>
      <c r="D183" s="87" t="s">
        <v>279</v>
      </c>
      <c r="E183" s="78"/>
      <c r="F183" s="88" t="s">
        <v>49</v>
      </c>
      <c r="G183" s="85"/>
      <c r="H183" s="85"/>
      <c r="I183" s="85"/>
      <c r="J183" s="81"/>
    </row>
    <row r="184" spans="1:10" ht="28">
      <c r="A184" s="82">
        <v>54</v>
      </c>
      <c r="B184" s="83" t="s">
        <v>4700</v>
      </c>
      <c r="C184" s="84" t="s">
        <v>4701</v>
      </c>
      <c r="D184" s="87" t="s">
        <v>279</v>
      </c>
      <c r="E184" s="78"/>
      <c r="F184" s="87" t="s">
        <v>49</v>
      </c>
      <c r="G184" s="85"/>
      <c r="H184" s="85"/>
      <c r="I184" s="85"/>
      <c r="J184" s="81"/>
    </row>
    <row r="185" spans="1:10" ht="28">
      <c r="A185" s="82">
        <v>56</v>
      </c>
      <c r="B185" s="83" t="s">
        <v>4704</v>
      </c>
      <c r="C185" s="84" t="s">
        <v>4705</v>
      </c>
      <c r="D185" s="87" t="s">
        <v>279</v>
      </c>
      <c r="E185" s="78"/>
      <c r="F185" s="88" t="s">
        <v>49</v>
      </c>
      <c r="G185" s="85"/>
      <c r="H185" s="85"/>
      <c r="I185" s="85"/>
      <c r="J185" s="81"/>
    </row>
    <row r="186" spans="1:10" ht="28">
      <c r="A186" s="82">
        <v>58</v>
      </c>
      <c r="B186" s="83" t="s">
        <v>4708</v>
      </c>
      <c r="C186" s="84" t="s">
        <v>4709</v>
      </c>
      <c r="D186" s="87" t="s">
        <v>279</v>
      </c>
      <c r="E186" s="78"/>
      <c r="F186" s="87" t="s">
        <v>49</v>
      </c>
      <c r="G186" s="85"/>
      <c r="H186" s="85"/>
      <c r="I186" s="85"/>
      <c r="J186" s="81"/>
    </row>
    <row r="187" spans="1:10" ht="28">
      <c r="A187" s="82">
        <v>59</v>
      </c>
      <c r="B187" s="83" t="s">
        <v>4710</v>
      </c>
      <c r="C187" s="84" t="s">
        <v>4711</v>
      </c>
      <c r="D187" s="87" t="s">
        <v>279</v>
      </c>
      <c r="E187" s="80"/>
      <c r="F187" s="88" t="s">
        <v>49</v>
      </c>
      <c r="G187" s="85"/>
      <c r="H187" s="85"/>
      <c r="I187" s="85"/>
      <c r="J187" s="81"/>
    </row>
    <row r="188" spans="1:10" ht="28">
      <c r="A188" s="82">
        <v>60</v>
      </c>
      <c r="B188" s="83" t="s">
        <v>4712</v>
      </c>
      <c r="C188" s="84" t="s">
        <v>4713</v>
      </c>
      <c r="D188" s="87" t="s">
        <v>279</v>
      </c>
      <c r="E188" s="80"/>
      <c r="F188" s="88" t="s">
        <v>49</v>
      </c>
      <c r="G188" s="85"/>
      <c r="H188" s="85"/>
      <c r="I188" s="85"/>
      <c r="J188" s="81"/>
    </row>
    <row r="189" spans="1:10" ht="28">
      <c r="A189" s="82">
        <v>61</v>
      </c>
      <c r="B189" s="83" t="s">
        <v>4714</v>
      </c>
      <c r="C189" s="84" t="s">
        <v>4715</v>
      </c>
      <c r="D189" s="87" t="s">
        <v>279</v>
      </c>
      <c r="E189" s="80"/>
      <c r="F189" s="88" t="s">
        <v>49</v>
      </c>
      <c r="G189" s="85"/>
      <c r="H189" s="85"/>
      <c r="I189" s="85"/>
      <c r="J189" s="81"/>
    </row>
    <row r="190" spans="1:10" ht="28">
      <c r="A190" s="82">
        <v>62</v>
      </c>
      <c r="B190" s="83" t="s">
        <v>4716</v>
      </c>
      <c r="C190" s="84" t="s">
        <v>4717</v>
      </c>
      <c r="D190" s="87" t="s">
        <v>279</v>
      </c>
      <c r="E190" s="78"/>
      <c r="F190" s="87" t="s">
        <v>49</v>
      </c>
      <c r="G190" s="85"/>
      <c r="H190" s="85"/>
      <c r="I190" s="85"/>
      <c r="J190" s="81"/>
    </row>
    <row r="191" spans="1:10" ht="28">
      <c r="A191" s="82">
        <v>64</v>
      </c>
      <c r="B191" s="83" t="s">
        <v>4719</v>
      </c>
      <c r="C191" s="84" t="s">
        <v>4720</v>
      </c>
      <c r="D191" s="87" t="s">
        <v>279</v>
      </c>
      <c r="E191" s="80"/>
      <c r="F191" s="88" t="s">
        <v>49</v>
      </c>
      <c r="G191" s="85"/>
      <c r="H191" s="85"/>
      <c r="I191" s="85"/>
      <c r="J191" s="81"/>
    </row>
    <row r="192" spans="1:10" ht="28">
      <c r="A192" s="82">
        <v>65</v>
      </c>
      <c r="B192" s="83" t="s">
        <v>4721</v>
      </c>
      <c r="C192" s="84" t="s">
        <v>4722</v>
      </c>
      <c r="D192" s="87" t="s">
        <v>279</v>
      </c>
      <c r="E192" s="80"/>
      <c r="F192" s="88" t="s">
        <v>49</v>
      </c>
      <c r="G192" s="85"/>
      <c r="H192" s="85"/>
      <c r="I192" s="85"/>
      <c r="J192" s="81"/>
    </row>
    <row r="193" spans="1:10" ht="28">
      <c r="A193" s="82">
        <v>70</v>
      </c>
      <c r="B193" s="83" t="s">
        <v>4731</v>
      </c>
      <c r="C193" s="84" t="s">
        <v>4732</v>
      </c>
      <c r="D193" s="87" t="s">
        <v>279</v>
      </c>
      <c r="E193" s="78"/>
      <c r="F193" s="87" t="s">
        <v>49</v>
      </c>
      <c r="G193" s="85"/>
      <c r="H193" s="85"/>
      <c r="I193" s="85"/>
      <c r="J193" s="81"/>
    </row>
    <row r="194" spans="1:10" ht="28">
      <c r="A194" s="82">
        <v>71</v>
      </c>
      <c r="B194" s="83" t="s">
        <v>4731</v>
      </c>
      <c r="C194" s="84" t="s">
        <v>4733</v>
      </c>
      <c r="D194" s="87" t="s">
        <v>279</v>
      </c>
      <c r="E194" s="80"/>
      <c r="F194" s="88" t="s">
        <v>49</v>
      </c>
      <c r="G194" s="85"/>
      <c r="H194" s="85"/>
      <c r="I194" s="85"/>
      <c r="J194" s="81"/>
    </row>
    <row r="195" spans="1:10" ht="28">
      <c r="A195" s="82">
        <v>73</v>
      </c>
      <c r="B195" s="83" t="s">
        <v>4736</v>
      </c>
      <c r="C195" s="84" t="s">
        <v>4737</v>
      </c>
      <c r="D195" s="87" t="s">
        <v>279</v>
      </c>
      <c r="E195" s="80"/>
      <c r="F195" s="88" t="s">
        <v>49</v>
      </c>
      <c r="G195" s="85"/>
      <c r="H195" s="85"/>
      <c r="I195" s="85"/>
      <c r="J195" s="81"/>
    </row>
    <row r="196" spans="1:10" ht="28">
      <c r="A196" s="82">
        <v>76</v>
      </c>
      <c r="B196" s="83" t="s">
        <v>4741</v>
      </c>
      <c r="C196" s="84" t="s">
        <v>4742</v>
      </c>
      <c r="D196" s="87" t="s">
        <v>279</v>
      </c>
      <c r="E196" s="78"/>
      <c r="F196" s="87" t="s">
        <v>49</v>
      </c>
      <c r="G196" s="85"/>
      <c r="H196" s="85"/>
      <c r="I196" s="85"/>
      <c r="J196" s="81"/>
    </row>
    <row r="197" spans="1:10" ht="28">
      <c r="A197" s="82">
        <v>81</v>
      </c>
      <c r="B197" s="83" t="s">
        <v>4750</v>
      </c>
      <c r="C197" s="84" t="s">
        <v>4751</v>
      </c>
      <c r="D197" s="87" t="s">
        <v>279</v>
      </c>
      <c r="E197" s="80"/>
      <c r="F197" s="88" t="s">
        <v>49</v>
      </c>
      <c r="G197" s="85"/>
      <c r="H197" s="85"/>
      <c r="I197" s="85"/>
      <c r="J197" s="81"/>
    </row>
    <row r="198" spans="1:10" ht="28">
      <c r="A198" s="82">
        <v>83</v>
      </c>
      <c r="B198" s="83" t="s">
        <v>4754</v>
      </c>
      <c r="C198" s="84" t="s">
        <v>4755</v>
      </c>
      <c r="D198" s="87" t="s">
        <v>279</v>
      </c>
      <c r="E198" s="80"/>
      <c r="F198" s="88" t="s">
        <v>49</v>
      </c>
      <c r="G198" s="85"/>
      <c r="H198" s="85"/>
      <c r="I198" s="85"/>
      <c r="J198" s="81"/>
    </row>
    <row r="199" spans="1:10" ht="28">
      <c r="A199" s="82">
        <v>84</v>
      </c>
      <c r="B199" s="83" t="s">
        <v>4756</v>
      </c>
      <c r="C199" s="84" t="s">
        <v>4757</v>
      </c>
      <c r="D199" s="87" t="s">
        <v>279</v>
      </c>
      <c r="E199" s="80"/>
      <c r="F199" s="88" t="s">
        <v>49</v>
      </c>
      <c r="G199" s="85"/>
      <c r="H199" s="85"/>
      <c r="I199" s="85"/>
      <c r="J199" s="81"/>
    </row>
    <row r="200" spans="1:10" ht="28">
      <c r="A200" s="82">
        <v>86</v>
      </c>
      <c r="B200" s="83" t="s">
        <v>4758</v>
      </c>
      <c r="C200" s="84" t="s">
        <v>4759</v>
      </c>
      <c r="D200" s="87" t="s">
        <v>279</v>
      </c>
      <c r="E200" s="80"/>
      <c r="F200" s="88" t="s">
        <v>49</v>
      </c>
      <c r="G200" s="85"/>
      <c r="H200" s="85"/>
      <c r="I200" s="85"/>
      <c r="J200" s="81"/>
    </row>
    <row r="201" spans="1:10" ht="28">
      <c r="A201" s="82">
        <v>87</v>
      </c>
      <c r="B201" s="83" t="s">
        <v>4760</v>
      </c>
      <c r="C201" s="84" t="s">
        <v>4761</v>
      </c>
      <c r="D201" s="87" t="s">
        <v>279</v>
      </c>
      <c r="E201" s="80"/>
      <c r="F201" s="88" t="s">
        <v>49</v>
      </c>
      <c r="G201" s="85"/>
      <c r="H201" s="85"/>
      <c r="I201" s="85"/>
      <c r="J201" s="81"/>
    </row>
    <row r="202" spans="1:10" ht="28">
      <c r="A202" s="82">
        <v>88</v>
      </c>
      <c r="B202" s="83" t="s">
        <v>4762</v>
      </c>
      <c r="C202" s="84" t="s">
        <v>4763</v>
      </c>
      <c r="D202" s="87" t="s">
        <v>279</v>
      </c>
      <c r="E202" s="80"/>
      <c r="F202" s="88" t="s">
        <v>49</v>
      </c>
      <c r="G202" s="85"/>
      <c r="H202" s="85"/>
      <c r="I202" s="85"/>
      <c r="J202" s="81"/>
    </row>
    <row r="203" spans="1:10" ht="28">
      <c r="A203" s="82">
        <v>89</v>
      </c>
      <c r="B203" s="83" t="s">
        <v>4764</v>
      </c>
      <c r="C203" s="84" t="s">
        <v>4765</v>
      </c>
      <c r="D203" s="87" t="s">
        <v>279</v>
      </c>
      <c r="E203" s="80"/>
      <c r="F203" s="88" t="s">
        <v>49</v>
      </c>
      <c r="G203" s="85"/>
      <c r="H203" s="85"/>
      <c r="I203" s="85"/>
      <c r="J203" s="81"/>
    </row>
    <row r="204" spans="1:10" ht="28">
      <c r="A204" s="82">
        <v>90</v>
      </c>
      <c r="B204" s="83" t="s">
        <v>4766</v>
      </c>
      <c r="C204" s="84" t="s">
        <v>4767</v>
      </c>
      <c r="D204" s="87" t="s">
        <v>279</v>
      </c>
      <c r="E204" s="80"/>
      <c r="F204" s="88" t="s">
        <v>49</v>
      </c>
      <c r="G204" s="85"/>
      <c r="H204" s="85"/>
      <c r="I204" s="85"/>
      <c r="J204" s="81"/>
    </row>
    <row r="205" spans="1:10" ht="28">
      <c r="A205" s="82">
        <v>91</v>
      </c>
      <c r="B205" s="83" t="s">
        <v>4768</v>
      </c>
      <c r="C205" s="84" t="s">
        <v>4769</v>
      </c>
      <c r="D205" s="87" t="s">
        <v>279</v>
      </c>
      <c r="E205" s="80"/>
      <c r="F205" s="88" t="s">
        <v>49</v>
      </c>
      <c r="G205" s="85"/>
      <c r="H205" s="85"/>
      <c r="I205" s="85"/>
      <c r="J205" s="81"/>
    </row>
    <row r="206" spans="1:10" ht="28">
      <c r="A206" s="82">
        <v>92</v>
      </c>
      <c r="B206" s="83" t="s">
        <v>4770</v>
      </c>
      <c r="C206" s="84" t="s">
        <v>4771</v>
      </c>
      <c r="D206" s="87" t="s">
        <v>279</v>
      </c>
      <c r="E206" s="80"/>
      <c r="F206" s="88" t="s">
        <v>49</v>
      </c>
      <c r="G206" s="85"/>
      <c r="H206" s="85"/>
      <c r="I206" s="85"/>
      <c r="J206" s="81"/>
    </row>
    <row r="207" spans="1:10" ht="28">
      <c r="A207" s="82">
        <v>94</v>
      </c>
      <c r="B207" s="83" t="s">
        <v>4774</v>
      </c>
      <c r="C207" s="84" t="s">
        <v>4775</v>
      </c>
      <c r="D207" s="87" t="s">
        <v>279</v>
      </c>
      <c r="E207" s="78"/>
      <c r="F207" s="87" t="s">
        <v>49</v>
      </c>
      <c r="G207" s="85"/>
      <c r="H207" s="85"/>
      <c r="I207" s="85"/>
      <c r="J207" s="81"/>
    </row>
    <row r="208" spans="1:10" ht="28">
      <c r="A208" s="82">
        <v>96</v>
      </c>
      <c r="B208" s="83" t="s">
        <v>4778</v>
      </c>
      <c r="C208" s="84" t="s">
        <v>4779</v>
      </c>
      <c r="D208" s="87" t="s">
        <v>279</v>
      </c>
      <c r="E208" s="78"/>
      <c r="F208" s="87" t="s">
        <v>49</v>
      </c>
      <c r="G208" s="85"/>
      <c r="H208" s="85"/>
      <c r="I208" s="85"/>
      <c r="J208" s="81"/>
    </row>
    <row r="209" spans="1:10" ht="28">
      <c r="A209" s="82">
        <v>97</v>
      </c>
      <c r="B209" s="83" t="s">
        <v>4780</v>
      </c>
      <c r="C209" s="84" t="s">
        <v>4781</v>
      </c>
      <c r="D209" s="87" t="s">
        <v>279</v>
      </c>
      <c r="E209" s="80"/>
      <c r="F209" s="88" t="s">
        <v>49</v>
      </c>
      <c r="G209" s="85"/>
      <c r="H209" s="85"/>
      <c r="I209" s="85"/>
      <c r="J209" s="81"/>
    </row>
    <row r="210" spans="1:10" ht="28">
      <c r="A210" s="82">
        <v>98</v>
      </c>
      <c r="B210" s="83" t="s">
        <v>4782</v>
      </c>
      <c r="C210" s="84" t="s">
        <v>4783</v>
      </c>
      <c r="D210" s="87" t="s">
        <v>279</v>
      </c>
      <c r="E210" s="78"/>
      <c r="F210" s="87" t="s">
        <v>49</v>
      </c>
      <c r="G210" s="85"/>
      <c r="H210" s="85"/>
      <c r="I210" s="85"/>
      <c r="J210" s="81"/>
    </row>
    <row r="211" spans="1:10" ht="28">
      <c r="A211" s="82">
        <v>99</v>
      </c>
      <c r="B211" s="83" t="s">
        <v>4784</v>
      </c>
      <c r="C211" s="84" t="s">
        <v>4785</v>
      </c>
      <c r="D211" s="87" t="s">
        <v>279</v>
      </c>
      <c r="E211" s="78"/>
      <c r="F211" s="87" t="s">
        <v>49</v>
      </c>
      <c r="G211" s="85"/>
      <c r="H211" s="85"/>
      <c r="I211" s="85"/>
      <c r="J211" s="81"/>
    </row>
    <row r="212" spans="1:10" ht="28">
      <c r="A212" s="82">
        <v>101</v>
      </c>
      <c r="B212" s="83" t="s">
        <v>4788</v>
      </c>
      <c r="C212" s="84" t="s">
        <v>4789</v>
      </c>
      <c r="D212" s="87" t="s">
        <v>279</v>
      </c>
      <c r="E212" s="78"/>
      <c r="F212" s="87" t="s">
        <v>49</v>
      </c>
      <c r="G212" s="85"/>
      <c r="H212" s="85"/>
      <c r="I212" s="85"/>
      <c r="J212" s="81"/>
    </row>
    <row r="213" spans="1:10" ht="28">
      <c r="A213" s="82">
        <v>103</v>
      </c>
      <c r="B213" s="83" t="s">
        <v>4756</v>
      </c>
      <c r="C213" s="84" t="s">
        <v>4792</v>
      </c>
      <c r="D213" s="87" t="s">
        <v>279</v>
      </c>
      <c r="E213" s="78"/>
      <c r="F213" s="87" t="s">
        <v>49</v>
      </c>
      <c r="G213" s="85"/>
      <c r="H213" s="85"/>
      <c r="I213" s="85"/>
      <c r="J213" s="81"/>
    </row>
    <row r="214" spans="1:10" ht="28">
      <c r="A214" s="82">
        <v>104</v>
      </c>
      <c r="B214" s="83" t="s">
        <v>4793</v>
      </c>
      <c r="C214" s="84" t="s">
        <v>4794</v>
      </c>
      <c r="D214" s="87" t="s">
        <v>279</v>
      </c>
      <c r="E214" s="78"/>
      <c r="F214" s="87" t="s">
        <v>49</v>
      </c>
      <c r="G214" s="85"/>
      <c r="H214" s="85"/>
      <c r="I214" s="85"/>
      <c r="J214" s="81"/>
    </row>
    <row r="215" spans="1:10" ht="56">
      <c r="A215" s="82">
        <v>107</v>
      </c>
      <c r="B215" s="83" t="s">
        <v>4799</v>
      </c>
      <c r="C215" s="84" t="s">
        <v>4800</v>
      </c>
      <c r="D215" s="87" t="s">
        <v>279</v>
      </c>
      <c r="E215" s="80"/>
      <c r="F215" s="88" t="s">
        <v>49</v>
      </c>
      <c r="G215" s="85"/>
      <c r="H215" s="85"/>
      <c r="I215" s="85"/>
      <c r="J215" s="81"/>
    </row>
    <row r="216" spans="1:10" ht="28">
      <c r="A216" s="82">
        <v>111</v>
      </c>
      <c r="B216" s="83" t="s">
        <v>4807</v>
      </c>
      <c r="C216" s="84" t="s">
        <v>4808</v>
      </c>
      <c r="D216" s="87" t="s">
        <v>279</v>
      </c>
      <c r="E216" s="78"/>
      <c r="F216" s="87" t="s">
        <v>49</v>
      </c>
      <c r="G216" s="85"/>
      <c r="H216" s="85"/>
      <c r="I216" s="85"/>
      <c r="J216" s="81"/>
    </row>
    <row r="217" spans="1:10" ht="28">
      <c r="A217" s="82">
        <v>112</v>
      </c>
      <c r="B217" s="83" t="s">
        <v>4809</v>
      </c>
      <c r="C217" s="84" t="s">
        <v>4810</v>
      </c>
      <c r="D217" s="87" t="s">
        <v>279</v>
      </c>
      <c r="E217" s="80"/>
      <c r="F217" s="88" t="s">
        <v>49</v>
      </c>
      <c r="G217" s="85"/>
      <c r="H217" s="85"/>
      <c r="I217" s="85"/>
      <c r="J217" s="81"/>
    </row>
    <row r="218" spans="1:10" ht="42">
      <c r="A218" s="82">
        <v>114</v>
      </c>
      <c r="B218" s="83" t="s">
        <v>4813</v>
      </c>
      <c r="C218" s="84" t="s">
        <v>4814</v>
      </c>
      <c r="D218" s="87" t="s">
        <v>279</v>
      </c>
      <c r="E218" s="78"/>
      <c r="F218" s="87" t="s">
        <v>49</v>
      </c>
      <c r="G218" s="85"/>
      <c r="H218" s="85"/>
      <c r="I218" s="85"/>
      <c r="J218" s="81"/>
    </row>
    <row r="219" spans="1:10" ht="28">
      <c r="A219" s="82">
        <v>115</v>
      </c>
      <c r="B219" s="83" t="s">
        <v>4815</v>
      </c>
      <c r="C219" s="84" t="s">
        <v>4816</v>
      </c>
      <c r="D219" s="87" t="s">
        <v>279</v>
      </c>
      <c r="E219" s="78"/>
      <c r="F219" s="87" t="s">
        <v>49</v>
      </c>
      <c r="G219" s="85"/>
      <c r="H219" s="85"/>
      <c r="I219" s="85"/>
      <c r="J219" s="81"/>
    </row>
    <row r="220" spans="1:10" ht="28">
      <c r="A220" s="82">
        <v>116</v>
      </c>
      <c r="B220" s="83" t="s">
        <v>4817</v>
      </c>
      <c r="C220" s="84" t="s">
        <v>4818</v>
      </c>
      <c r="D220" s="87" t="s">
        <v>279</v>
      </c>
      <c r="E220" s="78"/>
      <c r="F220" s="87" t="s">
        <v>49</v>
      </c>
      <c r="G220" s="85"/>
      <c r="H220" s="85"/>
      <c r="I220" s="85"/>
      <c r="J220" s="81"/>
    </row>
    <row r="221" spans="1:10" ht="28">
      <c r="A221" s="82">
        <v>119</v>
      </c>
      <c r="B221" s="83" t="s">
        <v>4823</v>
      </c>
      <c r="C221" s="84" t="s">
        <v>4824</v>
      </c>
      <c r="D221" s="87" t="s">
        <v>279</v>
      </c>
      <c r="E221" s="78"/>
      <c r="F221" s="87" t="s">
        <v>49</v>
      </c>
      <c r="G221" s="85"/>
      <c r="H221" s="85"/>
      <c r="I221" s="85"/>
      <c r="J221" s="81"/>
    </row>
    <row r="222" spans="1:10" ht="28">
      <c r="A222" s="82">
        <v>123</v>
      </c>
      <c r="B222" s="83" t="s">
        <v>4831</v>
      </c>
      <c r="C222" s="84" t="s">
        <v>4832</v>
      </c>
      <c r="D222" s="87" t="s">
        <v>279</v>
      </c>
      <c r="E222" s="78"/>
      <c r="F222" s="87" t="s">
        <v>49</v>
      </c>
      <c r="G222" s="85"/>
      <c r="H222" s="85"/>
      <c r="I222" s="85"/>
      <c r="J222" s="81"/>
    </row>
    <row r="223" spans="1:10" ht="28">
      <c r="A223" s="82">
        <v>124</v>
      </c>
      <c r="B223" s="83" t="s">
        <v>2658</v>
      </c>
      <c r="C223" s="84" t="s">
        <v>4833</v>
      </c>
      <c r="D223" s="87" t="s">
        <v>279</v>
      </c>
      <c r="E223" s="78"/>
      <c r="F223" s="87" t="s">
        <v>49</v>
      </c>
      <c r="G223" s="85"/>
      <c r="H223" s="85"/>
      <c r="I223" s="85"/>
      <c r="J223" s="81"/>
    </row>
    <row r="224" spans="1:10" ht="28">
      <c r="A224" s="82">
        <v>125</v>
      </c>
      <c r="B224" s="83" t="s">
        <v>4834</v>
      </c>
      <c r="C224" s="84" t="s">
        <v>4835</v>
      </c>
      <c r="D224" s="87" t="s">
        <v>279</v>
      </c>
      <c r="E224" s="78"/>
      <c r="F224" s="87" t="s">
        <v>49</v>
      </c>
      <c r="G224" s="85"/>
      <c r="H224" s="85"/>
      <c r="I224" s="85"/>
      <c r="J224" s="81"/>
    </row>
    <row r="225" spans="1:10" ht="28">
      <c r="A225" s="82">
        <v>127</v>
      </c>
      <c r="B225" s="83" t="s">
        <v>4838</v>
      </c>
      <c r="C225" s="84" t="s">
        <v>4839</v>
      </c>
      <c r="D225" s="87" t="s">
        <v>279</v>
      </c>
      <c r="E225" s="80"/>
      <c r="F225" s="88" t="s">
        <v>49</v>
      </c>
      <c r="G225" s="85"/>
      <c r="H225" s="85"/>
      <c r="I225" s="85"/>
      <c r="J225" s="81"/>
    </row>
    <row r="226" spans="1:10" ht="28">
      <c r="A226" s="82">
        <v>129</v>
      </c>
      <c r="B226" s="83" t="s">
        <v>4842</v>
      </c>
      <c r="C226" s="84" t="s">
        <v>4843</v>
      </c>
      <c r="D226" s="87" t="s">
        <v>279</v>
      </c>
      <c r="E226" s="78"/>
      <c r="F226" s="87" t="s">
        <v>49</v>
      </c>
      <c r="G226" s="85"/>
      <c r="H226" s="85"/>
      <c r="I226" s="85"/>
      <c r="J226" s="81"/>
    </row>
    <row r="227" spans="1:10" ht="28">
      <c r="A227" s="82">
        <v>130</v>
      </c>
      <c r="B227" s="83" t="s">
        <v>4844</v>
      </c>
      <c r="C227" s="84" t="s">
        <v>4845</v>
      </c>
      <c r="D227" s="87" t="s">
        <v>279</v>
      </c>
      <c r="E227" s="78"/>
      <c r="F227" s="87" t="s">
        <v>49</v>
      </c>
      <c r="G227" s="85"/>
      <c r="H227" s="85"/>
      <c r="I227" s="85"/>
      <c r="J227" s="81"/>
    </row>
    <row r="228" spans="1:10" ht="28">
      <c r="A228" s="82">
        <v>134</v>
      </c>
      <c r="B228" s="83" t="s">
        <v>453</v>
      </c>
      <c r="C228" s="84" t="s">
        <v>4852</v>
      </c>
      <c r="D228" s="87" t="s">
        <v>279</v>
      </c>
      <c r="E228" s="78"/>
      <c r="F228" s="87" t="s">
        <v>49</v>
      </c>
      <c r="G228" s="85"/>
      <c r="H228" s="85"/>
      <c r="I228" s="85"/>
      <c r="J228" s="81"/>
    </row>
    <row r="229" spans="1:10" ht="28">
      <c r="A229" s="82">
        <v>138</v>
      </c>
      <c r="B229" s="83" t="s">
        <v>4859</v>
      </c>
      <c r="C229" s="84" t="s">
        <v>4860</v>
      </c>
      <c r="D229" s="87" t="s">
        <v>279</v>
      </c>
      <c r="E229" s="78"/>
      <c r="F229" s="88" t="s">
        <v>49</v>
      </c>
      <c r="G229" s="85"/>
      <c r="H229" s="85"/>
      <c r="I229" s="85"/>
      <c r="J229" s="81"/>
    </row>
    <row r="230" spans="1:10" ht="28">
      <c r="A230" s="82">
        <v>142</v>
      </c>
      <c r="B230" s="83" t="s">
        <v>4866</v>
      </c>
      <c r="C230" s="84" t="s">
        <v>4867</v>
      </c>
      <c r="D230" s="87" t="s">
        <v>279</v>
      </c>
      <c r="E230" s="80"/>
      <c r="F230" s="88" t="s">
        <v>49</v>
      </c>
      <c r="G230" s="85"/>
      <c r="H230" s="85"/>
      <c r="I230" s="85"/>
      <c r="J230" s="81"/>
    </row>
    <row r="231" spans="1:10" ht="28">
      <c r="A231" s="82">
        <v>146</v>
      </c>
      <c r="B231" s="83" t="s">
        <v>4873</v>
      </c>
      <c r="C231" s="84" t="s">
        <v>4874</v>
      </c>
      <c r="D231" s="87" t="s">
        <v>279</v>
      </c>
      <c r="E231" s="78"/>
      <c r="F231" s="87" t="s">
        <v>49</v>
      </c>
      <c r="G231" s="85"/>
      <c r="H231" s="85"/>
      <c r="I231" s="85"/>
      <c r="J231" s="81"/>
    </row>
    <row r="232" spans="1:10" ht="28">
      <c r="A232" s="82">
        <v>147</v>
      </c>
      <c r="B232" s="83" t="s">
        <v>4875</v>
      </c>
      <c r="C232" s="84" t="s">
        <v>4876</v>
      </c>
      <c r="D232" s="87" t="s">
        <v>279</v>
      </c>
      <c r="E232" s="78"/>
      <c r="F232" s="87" t="s">
        <v>49</v>
      </c>
      <c r="G232" s="85"/>
      <c r="H232" s="85"/>
      <c r="I232" s="85"/>
      <c r="J232" s="81"/>
    </row>
    <row r="233" spans="1:10" ht="28">
      <c r="A233" s="82">
        <v>150</v>
      </c>
      <c r="B233" s="83" t="s">
        <v>4881</v>
      </c>
      <c r="C233" s="84" t="s">
        <v>4882</v>
      </c>
      <c r="D233" s="87" t="s">
        <v>279</v>
      </c>
      <c r="E233" s="78"/>
      <c r="F233" s="87" t="s">
        <v>49</v>
      </c>
      <c r="G233" s="85"/>
      <c r="H233" s="85"/>
      <c r="I233" s="85"/>
      <c r="J233" s="81"/>
    </row>
    <row r="234" spans="1:10" ht="42">
      <c r="A234" s="82">
        <v>151</v>
      </c>
      <c r="B234" s="83" t="s">
        <v>4883</v>
      </c>
      <c r="C234" s="84" t="s">
        <v>4884</v>
      </c>
      <c r="D234" s="87" t="s">
        <v>279</v>
      </c>
      <c r="E234" s="78"/>
      <c r="F234" s="87" t="s">
        <v>49</v>
      </c>
      <c r="G234" s="85"/>
      <c r="H234" s="85"/>
      <c r="I234" s="85"/>
      <c r="J234" s="81"/>
    </row>
    <row r="235" spans="1:10" ht="28">
      <c r="A235" s="82">
        <v>152</v>
      </c>
      <c r="B235" s="83" t="s">
        <v>4885</v>
      </c>
      <c r="C235" s="84" t="s">
        <v>4886</v>
      </c>
      <c r="D235" s="87" t="s">
        <v>279</v>
      </c>
      <c r="E235" s="80"/>
      <c r="F235" s="88" t="s">
        <v>49</v>
      </c>
      <c r="G235" s="85"/>
      <c r="H235" s="85"/>
      <c r="I235" s="85"/>
      <c r="J235" s="81"/>
    </row>
    <row r="236" spans="1:10" ht="28">
      <c r="A236" s="82">
        <v>153</v>
      </c>
      <c r="B236" s="83" t="s">
        <v>4887</v>
      </c>
      <c r="C236" s="84" t="s">
        <v>4888</v>
      </c>
      <c r="D236" s="87" t="s">
        <v>279</v>
      </c>
      <c r="E236" s="80"/>
      <c r="F236" s="88" t="s">
        <v>49</v>
      </c>
      <c r="G236" s="85"/>
      <c r="H236" s="85"/>
      <c r="I236" s="85"/>
      <c r="J236" s="81"/>
    </row>
    <row r="237" spans="1:10" ht="28">
      <c r="A237" s="82">
        <v>154</v>
      </c>
      <c r="B237" s="83" t="s">
        <v>4889</v>
      </c>
      <c r="C237" s="84" t="s">
        <v>4890</v>
      </c>
      <c r="D237" s="87" t="s">
        <v>279</v>
      </c>
      <c r="E237" s="80"/>
      <c r="F237" s="88" t="s">
        <v>49</v>
      </c>
      <c r="G237" s="85"/>
      <c r="H237" s="85"/>
      <c r="I237" s="85"/>
      <c r="J237" s="81"/>
    </row>
    <row r="238" spans="1:10" ht="56">
      <c r="A238" s="82">
        <v>156</v>
      </c>
      <c r="B238" s="83" t="s">
        <v>4893</v>
      </c>
      <c r="C238" s="84" t="s">
        <v>4894</v>
      </c>
      <c r="D238" s="87" t="s">
        <v>279</v>
      </c>
      <c r="E238" s="80"/>
      <c r="F238" s="88" t="s">
        <v>49</v>
      </c>
      <c r="G238" s="85"/>
      <c r="H238" s="85"/>
      <c r="I238" s="85"/>
      <c r="J238" s="81"/>
    </row>
    <row r="239" spans="1:10" ht="28">
      <c r="A239" s="82">
        <v>158</v>
      </c>
      <c r="B239" s="83" t="s">
        <v>525</v>
      </c>
      <c r="C239" s="84" t="s">
        <v>4896</v>
      </c>
      <c r="D239" s="87" t="s">
        <v>279</v>
      </c>
      <c r="E239" s="80"/>
      <c r="F239" s="88" t="s">
        <v>49</v>
      </c>
      <c r="G239" s="85"/>
      <c r="H239" s="85"/>
      <c r="I239" s="85"/>
      <c r="J239" s="81"/>
    </row>
    <row r="240" spans="1:10" ht="28">
      <c r="A240" s="82">
        <v>159</v>
      </c>
      <c r="B240" s="83" t="s">
        <v>4897</v>
      </c>
      <c r="C240" s="84" t="s">
        <v>4898</v>
      </c>
      <c r="D240" s="87" t="s">
        <v>279</v>
      </c>
      <c r="E240" s="80"/>
      <c r="F240" s="88" t="s">
        <v>49</v>
      </c>
      <c r="G240" s="85"/>
      <c r="H240" s="85"/>
      <c r="I240" s="85"/>
      <c r="J240" s="81"/>
    </row>
    <row r="241" spans="1:10" ht="28">
      <c r="A241" s="82">
        <v>160</v>
      </c>
      <c r="B241" s="83" t="s">
        <v>4899</v>
      </c>
      <c r="C241" s="84" t="s">
        <v>4900</v>
      </c>
      <c r="D241" s="87" t="s">
        <v>279</v>
      </c>
      <c r="E241" s="78"/>
      <c r="F241" s="87" t="s">
        <v>49</v>
      </c>
      <c r="G241" s="85"/>
      <c r="H241" s="85"/>
      <c r="I241" s="85"/>
      <c r="J241" s="81"/>
    </row>
    <row r="242" spans="1:10" ht="28">
      <c r="A242" s="82">
        <v>162</v>
      </c>
      <c r="B242" s="83" t="s">
        <v>4903</v>
      </c>
      <c r="C242" s="84" t="s">
        <v>4904</v>
      </c>
      <c r="D242" s="87" t="s">
        <v>279</v>
      </c>
      <c r="E242" s="80"/>
      <c r="F242" s="88" t="s">
        <v>49</v>
      </c>
      <c r="G242" s="85"/>
      <c r="H242" s="85"/>
      <c r="I242" s="85"/>
      <c r="J242" s="81"/>
    </row>
    <row r="243" spans="1:10" ht="28">
      <c r="A243" s="82">
        <v>163</v>
      </c>
      <c r="B243" s="83" t="s">
        <v>4905</v>
      </c>
      <c r="C243" s="84" t="s">
        <v>4906</v>
      </c>
      <c r="D243" s="87" t="s">
        <v>279</v>
      </c>
      <c r="E243" s="78"/>
      <c r="F243" s="87" t="s">
        <v>49</v>
      </c>
      <c r="G243" s="85"/>
      <c r="H243" s="85"/>
      <c r="I243" s="85"/>
      <c r="J243" s="81"/>
    </row>
    <row r="244" spans="1:10" ht="28">
      <c r="A244" s="82">
        <v>165</v>
      </c>
      <c r="B244" s="83" t="s">
        <v>4909</v>
      </c>
      <c r="C244" s="84" t="s">
        <v>4910</v>
      </c>
      <c r="D244" s="87" t="s">
        <v>279</v>
      </c>
      <c r="E244" s="78"/>
      <c r="F244" s="87" t="s">
        <v>49</v>
      </c>
      <c r="G244" s="85"/>
      <c r="H244" s="85"/>
      <c r="I244" s="85"/>
      <c r="J244" s="81"/>
    </row>
    <row r="245" spans="1:10" ht="28">
      <c r="A245" s="82">
        <v>166</v>
      </c>
      <c r="B245" s="83" t="s">
        <v>4793</v>
      </c>
      <c r="C245" s="84" t="s">
        <v>4911</v>
      </c>
      <c r="D245" s="87" t="s">
        <v>279</v>
      </c>
      <c r="E245" s="80"/>
      <c r="F245" s="88" t="s">
        <v>49</v>
      </c>
      <c r="G245" s="85"/>
      <c r="H245" s="85"/>
      <c r="I245" s="85"/>
      <c r="J245" s="81"/>
    </row>
    <row r="246" spans="1:10" ht="28">
      <c r="A246" s="82">
        <v>168</v>
      </c>
      <c r="B246" s="83" t="s">
        <v>4914</v>
      </c>
      <c r="C246" s="84" t="s">
        <v>4915</v>
      </c>
      <c r="D246" s="87" t="s">
        <v>279</v>
      </c>
      <c r="E246" s="78"/>
      <c r="F246" s="87" t="s">
        <v>49</v>
      </c>
      <c r="G246" s="85"/>
      <c r="H246" s="85"/>
      <c r="I246" s="85"/>
      <c r="J246" s="81"/>
    </row>
    <row r="247" spans="1:10" ht="28">
      <c r="A247" s="82">
        <v>169</v>
      </c>
      <c r="B247" s="83" t="s">
        <v>4916</v>
      </c>
      <c r="C247" s="84" t="s">
        <v>4917</v>
      </c>
      <c r="D247" s="87" t="s">
        <v>279</v>
      </c>
      <c r="E247" s="78"/>
      <c r="F247" s="87" t="s">
        <v>49</v>
      </c>
      <c r="G247" s="85"/>
      <c r="H247" s="85"/>
      <c r="I247" s="85"/>
      <c r="J247" s="81"/>
    </row>
    <row r="248" spans="1:10" ht="42">
      <c r="A248" s="82">
        <v>170</v>
      </c>
      <c r="B248" s="83" t="s">
        <v>4918</v>
      </c>
      <c r="C248" s="84" t="s">
        <v>4919</v>
      </c>
      <c r="D248" s="87" t="s">
        <v>279</v>
      </c>
      <c r="E248" s="78"/>
      <c r="F248" s="87" t="s">
        <v>49</v>
      </c>
      <c r="G248" s="85"/>
      <c r="H248" s="85"/>
      <c r="I248" s="85"/>
      <c r="J248" s="81"/>
    </row>
    <row r="249" spans="1:10" ht="28">
      <c r="A249" s="82">
        <v>171</v>
      </c>
      <c r="B249" s="83" t="s">
        <v>4920</v>
      </c>
      <c r="C249" s="84" t="s">
        <v>4921</v>
      </c>
      <c r="D249" s="87" t="s">
        <v>279</v>
      </c>
      <c r="E249" s="78"/>
      <c r="F249" s="87" t="s">
        <v>49</v>
      </c>
      <c r="G249" s="85"/>
      <c r="H249" s="85"/>
      <c r="I249" s="85"/>
      <c r="J249" s="81"/>
    </row>
    <row r="250" spans="1:10" ht="28">
      <c r="A250" s="82">
        <v>172</v>
      </c>
      <c r="B250" s="83" t="s">
        <v>4922</v>
      </c>
      <c r="C250" s="84" t="s">
        <v>4923</v>
      </c>
      <c r="D250" s="87" t="s">
        <v>279</v>
      </c>
      <c r="E250" s="78"/>
      <c r="F250" s="87" t="s">
        <v>49</v>
      </c>
      <c r="G250" s="85"/>
      <c r="H250" s="85"/>
      <c r="I250" s="85"/>
      <c r="J250" s="81"/>
    </row>
    <row r="251" spans="1:10" ht="28">
      <c r="A251" s="82">
        <v>173</v>
      </c>
      <c r="B251" s="83" t="s">
        <v>4924</v>
      </c>
      <c r="C251" s="84" t="s">
        <v>4925</v>
      </c>
      <c r="D251" s="87" t="s">
        <v>279</v>
      </c>
      <c r="E251" s="78"/>
      <c r="F251" s="87" t="s">
        <v>49</v>
      </c>
      <c r="G251" s="85"/>
      <c r="H251" s="85"/>
      <c r="I251" s="85"/>
      <c r="J251" s="81"/>
    </row>
    <row r="252" spans="1:10" ht="28">
      <c r="A252" s="82">
        <v>174</v>
      </c>
      <c r="B252" s="83" t="s">
        <v>4926</v>
      </c>
      <c r="C252" s="84" t="s">
        <v>4927</v>
      </c>
      <c r="D252" s="87" t="s">
        <v>279</v>
      </c>
      <c r="E252" s="78"/>
      <c r="F252" s="87" t="s">
        <v>49</v>
      </c>
      <c r="G252" s="85"/>
      <c r="H252" s="85"/>
      <c r="I252" s="85"/>
      <c r="J252" s="81"/>
    </row>
    <row r="253" spans="1:10" ht="28">
      <c r="A253" s="82">
        <v>175</v>
      </c>
      <c r="B253" s="83" t="s">
        <v>4928</v>
      </c>
      <c r="C253" s="84" t="s">
        <v>4929</v>
      </c>
      <c r="D253" s="87" t="s">
        <v>279</v>
      </c>
      <c r="E253" s="78"/>
      <c r="F253" s="87" t="s">
        <v>49</v>
      </c>
      <c r="G253" s="85"/>
      <c r="H253" s="85"/>
      <c r="I253" s="85"/>
      <c r="J253" s="81"/>
    </row>
    <row r="254" spans="1:10" ht="28">
      <c r="A254" s="82">
        <v>176</v>
      </c>
      <c r="B254" s="83" t="s">
        <v>4930</v>
      </c>
      <c r="C254" s="84" t="s">
        <v>4931</v>
      </c>
      <c r="D254" s="87" t="s">
        <v>279</v>
      </c>
      <c r="E254" s="78"/>
      <c r="F254" s="87" t="s">
        <v>49</v>
      </c>
      <c r="G254" s="85"/>
      <c r="H254" s="85"/>
      <c r="I254" s="85"/>
      <c r="J254" s="81"/>
    </row>
    <row r="255" spans="1:10" ht="28">
      <c r="A255" s="82">
        <v>177</v>
      </c>
      <c r="B255" s="83" t="s">
        <v>4932</v>
      </c>
      <c r="C255" s="84" t="s">
        <v>4933</v>
      </c>
      <c r="D255" s="87" t="s">
        <v>279</v>
      </c>
      <c r="E255" s="78"/>
      <c r="F255" s="87" t="s">
        <v>49</v>
      </c>
      <c r="G255" s="85"/>
      <c r="H255" s="85"/>
      <c r="I255" s="85"/>
      <c r="J255" s="81"/>
    </row>
    <row r="256" spans="1:10" ht="28">
      <c r="A256" s="82">
        <v>180</v>
      </c>
      <c r="B256" s="83" t="s">
        <v>4938</v>
      </c>
      <c r="C256" s="84" t="s">
        <v>4939</v>
      </c>
      <c r="D256" s="87" t="s">
        <v>279</v>
      </c>
      <c r="E256" s="78"/>
      <c r="F256" s="87" t="s">
        <v>49</v>
      </c>
      <c r="G256" s="85"/>
      <c r="H256" s="85"/>
      <c r="I256" s="85"/>
      <c r="J256" s="81"/>
    </row>
    <row r="257" spans="1:10" ht="28">
      <c r="A257" s="82">
        <v>186</v>
      </c>
      <c r="B257" s="83" t="s">
        <v>4950</v>
      </c>
      <c r="C257" s="84" t="s">
        <v>4951</v>
      </c>
      <c r="D257" s="87" t="s">
        <v>279</v>
      </c>
      <c r="E257" s="80"/>
      <c r="F257" s="88" t="s">
        <v>49</v>
      </c>
      <c r="G257" s="85"/>
      <c r="H257" s="85"/>
      <c r="I257" s="85"/>
      <c r="J257" s="81"/>
    </row>
    <row r="258" spans="1:10" ht="28">
      <c r="A258" s="82">
        <v>188</v>
      </c>
      <c r="B258" s="83" t="s">
        <v>4954</v>
      </c>
      <c r="C258" s="84" t="s">
        <v>4955</v>
      </c>
      <c r="D258" s="87" t="s">
        <v>279</v>
      </c>
      <c r="E258" s="80"/>
      <c r="F258" s="88" t="s">
        <v>49</v>
      </c>
      <c r="G258" s="85"/>
      <c r="H258" s="85"/>
      <c r="I258" s="85"/>
      <c r="J258" s="81"/>
    </row>
    <row r="259" spans="1:10" ht="28">
      <c r="A259" s="82">
        <v>196</v>
      </c>
      <c r="B259" s="83" t="s">
        <v>4969</v>
      </c>
      <c r="C259" s="84" t="s">
        <v>4970</v>
      </c>
      <c r="D259" s="87" t="s">
        <v>279</v>
      </c>
      <c r="E259" s="78"/>
      <c r="F259" s="87" t="s">
        <v>49</v>
      </c>
      <c r="G259" s="85"/>
      <c r="H259" s="85"/>
      <c r="I259" s="85"/>
      <c r="J259" s="81"/>
    </row>
    <row r="260" spans="1:10" ht="28">
      <c r="A260" s="82">
        <v>200</v>
      </c>
      <c r="B260" s="83" t="s">
        <v>4977</v>
      </c>
      <c r="C260" s="84" t="s">
        <v>4978</v>
      </c>
      <c r="D260" s="87" t="s">
        <v>279</v>
      </c>
      <c r="E260" s="78"/>
      <c r="F260" s="87" t="s">
        <v>49</v>
      </c>
      <c r="G260" s="85"/>
      <c r="H260" s="85"/>
      <c r="I260" s="85"/>
      <c r="J260" s="81"/>
    </row>
    <row r="261" spans="1:10" ht="42">
      <c r="A261" s="82">
        <v>201</v>
      </c>
      <c r="B261" s="83" t="s">
        <v>4979</v>
      </c>
      <c r="C261" s="84" t="s">
        <v>4980</v>
      </c>
      <c r="D261" s="87" t="s">
        <v>279</v>
      </c>
      <c r="E261" s="78"/>
      <c r="F261" s="87" t="s">
        <v>49</v>
      </c>
      <c r="G261" s="85"/>
      <c r="H261" s="85"/>
      <c r="I261" s="85"/>
      <c r="J261" s="81"/>
    </row>
    <row r="262" spans="1:10" ht="28">
      <c r="A262" s="82">
        <v>206</v>
      </c>
      <c r="B262" s="83" t="s">
        <v>4989</v>
      </c>
      <c r="C262" s="84" t="s">
        <v>4990</v>
      </c>
      <c r="D262" s="87" t="s">
        <v>279</v>
      </c>
      <c r="E262" s="78"/>
      <c r="F262" s="87" t="s">
        <v>49</v>
      </c>
      <c r="G262" s="85"/>
      <c r="H262" s="85"/>
      <c r="I262" s="85"/>
      <c r="J262" s="81"/>
    </row>
    <row r="263" spans="1:10" ht="28">
      <c r="A263" s="82">
        <v>207</v>
      </c>
      <c r="B263" s="83" t="s">
        <v>4954</v>
      </c>
      <c r="C263" s="84" t="s">
        <v>4991</v>
      </c>
      <c r="D263" s="87" t="s">
        <v>279</v>
      </c>
      <c r="E263" s="78"/>
      <c r="F263" s="87" t="s">
        <v>49</v>
      </c>
      <c r="G263" s="85"/>
      <c r="H263" s="85"/>
      <c r="I263" s="85"/>
      <c r="J263" s="81"/>
    </row>
    <row r="264" spans="1:10" ht="28">
      <c r="A264" s="82">
        <v>208</v>
      </c>
      <c r="B264" s="83" t="s">
        <v>4992</v>
      </c>
      <c r="C264" s="84" t="s">
        <v>4993</v>
      </c>
      <c r="D264" s="87" t="s">
        <v>279</v>
      </c>
      <c r="E264" s="78"/>
      <c r="F264" s="87" t="s">
        <v>49</v>
      </c>
      <c r="G264" s="85"/>
      <c r="H264" s="85"/>
      <c r="I264" s="85"/>
      <c r="J264" s="81"/>
    </row>
    <row r="265" spans="1:10" ht="28">
      <c r="A265" s="82">
        <v>209</v>
      </c>
      <c r="B265" s="83" t="s">
        <v>4994</v>
      </c>
      <c r="C265" s="84" t="s">
        <v>4995</v>
      </c>
      <c r="D265" s="87" t="s">
        <v>279</v>
      </c>
      <c r="E265" s="78"/>
      <c r="F265" s="87" t="s">
        <v>49</v>
      </c>
      <c r="G265" s="85"/>
      <c r="H265" s="85"/>
      <c r="I265" s="85"/>
      <c r="J265" s="81"/>
    </row>
    <row r="266" spans="1:10" ht="28">
      <c r="A266" s="82">
        <v>210</v>
      </c>
      <c r="B266" s="83" t="s">
        <v>4996</v>
      </c>
      <c r="C266" s="84" t="s">
        <v>4997</v>
      </c>
      <c r="D266" s="87" t="s">
        <v>279</v>
      </c>
      <c r="E266" s="80"/>
      <c r="F266" s="88" t="s">
        <v>49</v>
      </c>
      <c r="G266" s="85"/>
      <c r="H266" s="85"/>
      <c r="I266" s="85"/>
      <c r="J266" s="81"/>
    </row>
    <row r="267" spans="1:10" ht="28">
      <c r="A267" s="82">
        <v>211</v>
      </c>
      <c r="B267" s="83" t="s">
        <v>4998</v>
      </c>
      <c r="C267" s="84" t="s">
        <v>4999</v>
      </c>
      <c r="D267" s="87" t="s">
        <v>279</v>
      </c>
      <c r="E267" s="80"/>
      <c r="F267" s="88" t="s">
        <v>49</v>
      </c>
      <c r="G267" s="85"/>
      <c r="H267" s="85"/>
      <c r="I267" s="85"/>
      <c r="J267" s="81"/>
    </row>
    <row r="268" spans="1:10" ht="42">
      <c r="A268" s="82">
        <v>213</v>
      </c>
      <c r="B268" s="83" t="s">
        <v>5002</v>
      </c>
      <c r="C268" s="84" t="s">
        <v>5003</v>
      </c>
      <c r="D268" s="87" t="s">
        <v>279</v>
      </c>
      <c r="E268" s="78"/>
      <c r="F268" s="87" t="s">
        <v>49</v>
      </c>
      <c r="G268" s="85"/>
      <c r="H268" s="85"/>
      <c r="I268" s="85"/>
      <c r="J268" s="81"/>
    </row>
    <row r="269" spans="1:10" ht="28">
      <c r="A269" s="82">
        <v>216</v>
      </c>
      <c r="B269" s="83" t="s">
        <v>5008</v>
      </c>
      <c r="C269" s="84" t="s">
        <v>5009</v>
      </c>
      <c r="D269" s="87" t="s">
        <v>279</v>
      </c>
      <c r="E269" s="80"/>
      <c r="F269" s="88" t="s">
        <v>49</v>
      </c>
      <c r="G269" s="85"/>
      <c r="H269" s="85"/>
      <c r="I269" s="85"/>
      <c r="J269" s="81"/>
    </row>
    <row r="270" spans="1:10" ht="28">
      <c r="A270" s="82">
        <v>228</v>
      </c>
      <c r="B270" s="83" t="s">
        <v>5032</v>
      </c>
      <c r="C270" s="84" t="s">
        <v>5033</v>
      </c>
      <c r="D270" s="87" t="s">
        <v>279</v>
      </c>
      <c r="E270" s="78"/>
      <c r="F270" s="87" t="s">
        <v>49</v>
      </c>
      <c r="G270" s="85"/>
      <c r="H270" s="85"/>
      <c r="I270" s="85"/>
      <c r="J270" s="81"/>
    </row>
    <row r="271" spans="1:10" ht="28">
      <c r="A271" s="82">
        <v>229</v>
      </c>
      <c r="B271" s="83" t="s">
        <v>5034</v>
      </c>
      <c r="C271" s="84" t="s">
        <v>5035</v>
      </c>
      <c r="D271" s="87" t="s">
        <v>279</v>
      </c>
      <c r="E271" s="78"/>
      <c r="F271" s="87" t="s">
        <v>49</v>
      </c>
      <c r="G271" s="85"/>
      <c r="H271" s="85"/>
      <c r="I271" s="85"/>
      <c r="J271" s="81"/>
    </row>
    <row r="272" spans="1:10" ht="28">
      <c r="A272" s="82">
        <v>237</v>
      </c>
      <c r="B272" s="83" t="s">
        <v>5050</v>
      </c>
      <c r="C272" s="84" t="s">
        <v>5051</v>
      </c>
      <c r="D272" s="87" t="s">
        <v>279</v>
      </c>
      <c r="E272" s="78"/>
      <c r="F272" s="87" t="s">
        <v>49</v>
      </c>
      <c r="G272" s="85"/>
      <c r="H272" s="85"/>
      <c r="I272" s="85"/>
      <c r="J272" s="81"/>
    </row>
    <row r="273" spans="1:10" ht="28">
      <c r="A273" s="82">
        <v>238</v>
      </c>
      <c r="B273" s="83" t="s">
        <v>5052</v>
      </c>
      <c r="C273" s="84" t="s">
        <v>5053</v>
      </c>
      <c r="D273" s="87" t="s">
        <v>279</v>
      </c>
      <c r="E273" s="78"/>
      <c r="F273" s="87" t="s">
        <v>49</v>
      </c>
      <c r="G273" s="85"/>
      <c r="H273" s="85"/>
      <c r="I273" s="85"/>
      <c r="J273" s="81"/>
    </row>
    <row r="274" spans="1:10" ht="28">
      <c r="A274" s="82">
        <v>240</v>
      </c>
      <c r="B274" s="83" t="s">
        <v>5055</v>
      </c>
      <c r="C274" s="84" t="s">
        <v>5056</v>
      </c>
      <c r="D274" s="87" t="s">
        <v>279</v>
      </c>
      <c r="E274" s="78"/>
      <c r="F274" s="87" t="s">
        <v>49</v>
      </c>
      <c r="G274" s="85"/>
      <c r="H274" s="85"/>
      <c r="I274" s="85"/>
      <c r="J274" s="81"/>
    </row>
    <row r="275" spans="1:10" ht="42">
      <c r="A275" s="82">
        <v>252</v>
      </c>
      <c r="B275" s="83" t="s">
        <v>5076</v>
      </c>
      <c r="C275" s="84" t="s">
        <v>5077</v>
      </c>
      <c r="D275" s="87" t="s">
        <v>279</v>
      </c>
      <c r="E275" s="78"/>
      <c r="F275" s="87" t="s">
        <v>49</v>
      </c>
      <c r="G275" s="85"/>
      <c r="H275" s="85"/>
      <c r="I275" s="85"/>
      <c r="J275" s="81"/>
    </row>
    <row r="276" spans="1:10">
      <c r="C276" s="119" t="s">
        <v>95</v>
      </c>
      <c r="D276" s="42">
        <f>COUNTA(D159:D275)</f>
        <v>117</v>
      </c>
    </row>
    <row r="279" spans="1:10" ht="42">
      <c r="A279" s="78" t="s">
        <v>35</v>
      </c>
      <c r="B279" s="79" t="s">
        <v>36</v>
      </c>
      <c r="C279" s="79" t="s">
        <v>37</v>
      </c>
      <c r="D279" s="80" t="s">
        <v>38</v>
      </c>
      <c r="E279" s="80" t="s">
        <v>39</v>
      </c>
      <c r="F279" s="80" t="s">
        <v>40</v>
      </c>
      <c r="G279" s="80" t="s">
        <v>41</v>
      </c>
      <c r="H279" s="80" t="s">
        <v>42</v>
      </c>
      <c r="I279" s="80" t="s">
        <v>1466</v>
      </c>
      <c r="J279" s="81" t="s">
        <v>4595</v>
      </c>
    </row>
    <row r="280" spans="1:10" ht="56">
      <c r="A280" s="82">
        <v>2</v>
      </c>
      <c r="B280" s="83" t="s">
        <v>4596</v>
      </c>
      <c r="C280" s="84" t="s">
        <v>4597</v>
      </c>
      <c r="D280" s="85"/>
      <c r="E280" s="85"/>
      <c r="F280" s="85" t="s">
        <v>78</v>
      </c>
      <c r="G280" s="85" t="s">
        <v>79</v>
      </c>
      <c r="H280" s="85" t="s">
        <v>47</v>
      </c>
      <c r="I280" s="85" t="s">
        <v>49</v>
      </c>
      <c r="J280" s="81"/>
    </row>
    <row r="281" spans="1:10" ht="42">
      <c r="A281" s="82">
        <v>34</v>
      </c>
      <c r="B281" s="83" t="s">
        <v>4661</v>
      </c>
      <c r="C281" s="84" t="s">
        <v>4662</v>
      </c>
      <c r="D281" s="85"/>
      <c r="E281" s="85"/>
      <c r="F281" s="85" t="s">
        <v>78</v>
      </c>
      <c r="G281" s="85" t="s">
        <v>79</v>
      </c>
      <c r="H281" s="85" t="s">
        <v>80</v>
      </c>
      <c r="I281" s="85" t="s">
        <v>49</v>
      </c>
      <c r="J281" s="81"/>
    </row>
    <row r="282" spans="1:10" ht="28">
      <c r="A282" s="82">
        <v>55</v>
      </c>
      <c r="B282" s="83" t="s">
        <v>4702</v>
      </c>
      <c r="C282" s="84" t="s">
        <v>4703</v>
      </c>
      <c r="D282" s="87"/>
      <c r="E282" s="78"/>
      <c r="F282" s="87" t="s">
        <v>78</v>
      </c>
      <c r="G282" s="85" t="s">
        <v>79</v>
      </c>
      <c r="H282" s="85" t="s">
        <v>100</v>
      </c>
      <c r="I282" s="85" t="s">
        <v>49</v>
      </c>
      <c r="J282" s="81"/>
    </row>
    <row r="283" spans="1:10" ht="28">
      <c r="A283" s="82">
        <v>232</v>
      </c>
      <c r="B283" s="83" t="s">
        <v>5040</v>
      </c>
      <c r="C283" s="84" t="s">
        <v>5041</v>
      </c>
      <c r="D283" s="85"/>
      <c r="E283" s="85"/>
      <c r="F283" s="85" t="s">
        <v>78</v>
      </c>
      <c r="G283" s="85" t="s">
        <v>167</v>
      </c>
      <c r="H283" s="85" t="s">
        <v>47</v>
      </c>
      <c r="I283" s="85" t="s">
        <v>49</v>
      </c>
      <c r="J283" s="81"/>
    </row>
    <row r="284" spans="1:10" ht="70">
      <c r="A284" s="82">
        <v>248</v>
      </c>
      <c r="B284" s="83" t="s">
        <v>5068</v>
      </c>
      <c r="C284" s="84" t="s">
        <v>5069</v>
      </c>
      <c r="D284" s="85"/>
      <c r="E284" s="85"/>
      <c r="F284" s="85" t="s">
        <v>78</v>
      </c>
      <c r="G284" s="85" t="s">
        <v>79</v>
      </c>
      <c r="H284" s="85" t="s">
        <v>100</v>
      </c>
      <c r="I284" s="85" t="s">
        <v>49</v>
      </c>
      <c r="J284" s="81"/>
    </row>
    <row r="285" spans="1:10" ht="28">
      <c r="A285" s="82">
        <v>253</v>
      </c>
      <c r="B285" s="83" t="s">
        <v>5078</v>
      </c>
      <c r="C285" s="84" t="s">
        <v>5079</v>
      </c>
      <c r="D285" s="85"/>
      <c r="E285" s="85"/>
      <c r="F285" s="85" t="s">
        <v>78</v>
      </c>
      <c r="G285" s="85" t="s">
        <v>167</v>
      </c>
      <c r="H285" s="85" t="s">
        <v>47</v>
      </c>
      <c r="I285" s="85" t="s">
        <v>49</v>
      </c>
      <c r="J285" s="81"/>
    </row>
    <row r="286" spans="1:10" ht="28">
      <c r="A286" s="82">
        <v>254</v>
      </c>
      <c r="B286" s="83" t="s">
        <v>5080</v>
      </c>
      <c r="C286" s="84" t="s">
        <v>5081</v>
      </c>
      <c r="D286" s="85"/>
      <c r="E286" s="78" t="s">
        <v>4626</v>
      </c>
      <c r="F286" s="85" t="s">
        <v>78</v>
      </c>
      <c r="G286" s="85" t="s">
        <v>79</v>
      </c>
      <c r="H286" s="85" t="s">
        <v>79</v>
      </c>
      <c r="I286" s="85" t="s">
        <v>49</v>
      </c>
      <c r="J286" s="81"/>
    </row>
    <row r="287" spans="1:10" ht="28">
      <c r="A287" s="82">
        <v>255</v>
      </c>
      <c r="B287" s="83" t="s">
        <v>5082</v>
      </c>
      <c r="C287" s="84" t="s">
        <v>5083</v>
      </c>
      <c r="D287" s="85"/>
      <c r="E287" s="78" t="s">
        <v>4626</v>
      </c>
      <c r="F287" s="85" t="s">
        <v>78</v>
      </c>
      <c r="G287" s="85" t="s">
        <v>167</v>
      </c>
      <c r="H287" s="85" t="s">
        <v>47</v>
      </c>
      <c r="I287" s="85" t="s">
        <v>49</v>
      </c>
      <c r="J287" s="81"/>
    </row>
    <row r="288" spans="1:10" ht="42">
      <c r="A288" s="82">
        <v>256</v>
      </c>
      <c r="B288" s="83" t="s">
        <v>5084</v>
      </c>
      <c r="C288" s="84" t="s">
        <v>5085</v>
      </c>
      <c r="D288" s="85"/>
      <c r="E288" s="78" t="s">
        <v>4626</v>
      </c>
      <c r="F288" s="85" t="s">
        <v>78</v>
      </c>
      <c r="G288" s="85" t="s">
        <v>79</v>
      </c>
      <c r="H288" s="85" t="s">
        <v>79</v>
      </c>
      <c r="I288" s="85" t="s">
        <v>49</v>
      </c>
      <c r="J288" s="81"/>
    </row>
    <row r="289" spans="1:10" ht="28">
      <c r="A289" s="82">
        <v>257</v>
      </c>
      <c r="B289" s="83" t="s">
        <v>5086</v>
      </c>
      <c r="C289" s="84" t="s">
        <v>5087</v>
      </c>
      <c r="D289" s="85"/>
      <c r="E289" s="85"/>
      <c r="F289" s="85" t="s">
        <v>78</v>
      </c>
      <c r="G289" s="85" t="s">
        <v>79</v>
      </c>
      <c r="H289" s="85" t="s">
        <v>79</v>
      </c>
      <c r="I289" s="85" t="s">
        <v>49</v>
      </c>
      <c r="J289" s="81"/>
    </row>
    <row r="290" spans="1:10">
      <c r="E290" s="118" t="s">
        <v>95</v>
      </c>
      <c r="F290" s="42">
        <f>COUNTA(F280:F289)</f>
        <v>10</v>
      </c>
    </row>
  </sheetData>
  <sortState ref="A2:J255">
    <sortCondition ref="D2:D255"/>
  </sortState>
  <hyperlinks>
    <hyperlink ref="A159" r:id="rId1" display="http://www.westlaw.com/Find/Default.wl?rs=dfa1.0&amp;vr=2.0&amp;DB=6538&amp;FindType=Y&amp;SerialNum=2007408059"/>
    <hyperlink ref="A160" r:id="rId2" display="http://www.westlaw.com/Find/Default.wl?rs=dfa1.0&amp;vr=2.0&amp;DB=6538&amp;FindType=Y&amp;SerialNum=2007388536"/>
    <hyperlink ref="A46" r:id="rId3" display="http://www.westlaw.com/Find/Default.wl?rs=dfa1.0&amp;vr=2.0&amp;DB=506&amp;FindType=Y&amp;SerialNum=2007363523"/>
    <hyperlink ref="A161" r:id="rId4" display="http://www.westlaw.com/Find/Default.wl?rs=dfa1.0&amp;vr=2.0&amp;DB=6538&amp;FindType=Y&amp;SerialNum=2007365179"/>
    <hyperlink ref="A162" r:id="rId5" display="http://www.westlaw.com/Find/Default.wl?rs=dfa1.0&amp;vr=2.0&amp;DB=6538&amp;FindType=Y&amp;SerialNum=2007365180"/>
    <hyperlink ref="A163" r:id="rId6" display="http://www.westlaw.com/Find/Default.wl?rs=dfa1.0&amp;vr=2.0&amp;DB=6538&amp;FindType=Y&amp;SerialNum=2007358247"/>
    <hyperlink ref="A164" r:id="rId7" display="http://www.westlaw.com/Find/Default.wl?rs=dfa1.0&amp;vr=2.0&amp;DB=6538&amp;FindType=Y&amp;SerialNum=2007342926"/>
    <hyperlink ref="A165" r:id="rId8" display="http://www.westlaw.com/Find/Default.wl?rs=dfa1.0&amp;vr=2.0&amp;DB=6538&amp;FindType=Y&amp;SerialNum=2007342927"/>
    <hyperlink ref="A166" r:id="rId9" display="http://www.westlaw.com/Find/Default.wl?rs=dfa1.0&amp;vr=2.0&amp;DB=6538&amp;FindType=Y&amp;SerialNum=2007342928"/>
    <hyperlink ref="A167" r:id="rId10" display="http://www.westlaw.com/Find/Default.wl?rs=dfa1.0&amp;vr=2.0&amp;DB=6538&amp;FindType=Y&amp;SerialNum=2007343578"/>
    <hyperlink ref="A168" r:id="rId11" display="http://www.westlaw.com/Find/Default.wl?rs=dfa1.0&amp;vr=2.0&amp;DB=6538&amp;FindType=Y&amp;SerialNum=2007326803"/>
    <hyperlink ref="A169" r:id="rId12" display="http://www.westlaw.com/Find/Default.wl?rs=dfa1.0&amp;vr=2.0&amp;DB=6538&amp;FindType=Y&amp;SerialNum=2007326804"/>
    <hyperlink ref="A33" r:id="rId13" display="http://www.westlaw.com/Find/Default.wl?rs=dfa1.0&amp;vr=2.0&amp;DB=506&amp;FindType=Y&amp;SerialNum=2007307431"/>
    <hyperlink ref="A47" r:id="rId14" display="http://www.westlaw.com/Find/Default.wl?rs=dfa1.0&amp;vr=2.0&amp;DB=6538&amp;FindType=Y&amp;SerialNum=2007310012"/>
    <hyperlink ref="A48" r:id="rId15" display="http://www.westlaw.com/Find/Default.wl?rs=dfa1.0&amp;vr=2.0&amp;DB=506&amp;FindType=Y&amp;SerialNum=2007294631"/>
    <hyperlink ref="A170" r:id="rId16" display="http://www.westlaw.com/Find/Default.wl?rs=dfa1.0&amp;vr=2.0&amp;DB=6538&amp;FindType=Y&amp;SerialNum=2007293625"/>
    <hyperlink ref="A22" r:id="rId17" display="http://www.westlaw.com/Find/Default.wl?rs=dfa1.0&amp;vr=2.0&amp;DB=506&amp;FindType=Y&amp;SerialNum=2007287272"/>
    <hyperlink ref="A171" r:id="rId18" display="http://www.westlaw.com/Find/Default.wl?rs=dfa1.0&amp;vr=2.0&amp;DB=6538&amp;FindType=Y&amp;SerialNum=2007288541"/>
    <hyperlink ref="A49" r:id="rId19" display="http://www.westlaw.com/Find/Default.wl?rs=dfa1.0&amp;vr=2.0&amp;DB=506&amp;FindType=Y&amp;SerialNum=2007281222"/>
    <hyperlink ref="A50" r:id="rId20" display="http://www.westlaw.com/Find/Default.wl?rs=dfa1.0&amp;vr=2.0&amp;DB=506&amp;FindType=Y&amp;SerialNum=2007281223"/>
    <hyperlink ref="A51" r:id="rId21" display="http://www.westlaw.com/Find/Default.wl?rs=dfa1.0&amp;vr=2.0&amp;DB=506&amp;FindType=Y&amp;SerialNum=2007281232"/>
    <hyperlink ref="A52" r:id="rId22" display="http://www.westlaw.com/Find/Default.wl?rs=dfa1.0&amp;vr=2.0&amp;DB=506&amp;FindType=Y&amp;SerialNum=2007276345"/>
    <hyperlink ref="A53" r:id="rId23" display="http://www.westlaw.com/Find/Default.wl?rs=dfa1.0&amp;vr=2.0&amp;DB=506&amp;FindType=Y&amp;SerialNum=2007256417"/>
    <hyperlink ref="A54" r:id="rId24" display="http://www.westlaw.com/Find/Default.wl?rs=dfa1.0&amp;vr=2.0&amp;DB=506&amp;FindType=Y&amp;SerialNum=2007245806"/>
    <hyperlink ref="A55" r:id="rId25" display="http://www.westlaw.com/Find/Default.wl?rs=dfa1.0&amp;vr=2.0&amp;DB=506&amp;FindType=Y&amp;SerialNum=2007239968"/>
    <hyperlink ref="A172" r:id="rId26" display="http://www.westlaw.com/Find/Default.wl?rs=dfa1.0&amp;vr=2.0&amp;DB=6538&amp;FindType=Y&amp;SerialNum=2007244734"/>
    <hyperlink ref="A173" r:id="rId27" display="http://www.westlaw.com/Find/Default.wl?rs=dfa1.0&amp;vr=2.0&amp;DB=6538&amp;FindType=Y&amp;SerialNum=2007244735"/>
    <hyperlink ref="A174" r:id="rId28" display="http://www.westlaw.com/Find/Default.wl?rs=dfa1.0&amp;vr=2.0&amp;DB=6538&amp;FindType=Y&amp;SerialNum=2007244736"/>
    <hyperlink ref="A56" r:id="rId29" display="http://www.westlaw.com/Find/Default.wl?rs=dfa1.0&amp;vr=2.0&amp;DB=506&amp;FindType=Y&amp;SerialNum=2007229535"/>
    <hyperlink ref="A57" r:id="rId30" display="http://www.westlaw.com/Find/Default.wl?rs=dfa1.0&amp;vr=2.0&amp;DB=506&amp;FindType=Y&amp;SerialNum=2007205053"/>
    <hyperlink ref="A58" r:id="rId31" display="http://www.westlaw.com/Find/Default.wl?rs=dfa1.0&amp;vr=2.0&amp;DB=6538&amp;FindType=Y&amp;SerialNum=2007213970"/>
    <hyperlink ref="A59" r:id="rId32" display="http://www.westlaw.com/Find/Default.wl?rs=dfa1.0&amp;vr=2.0&amp;DB=506&amp;FindType=Y&amp;SerialNum=2007182468"/>
    <hyperlink ref="A39" r:id="rId33" display="http://www.westlaw.com/Find/Default.wl?rs=dfa1.0&amp;vr=2.0&amp;DB=506&amp;FindType=Y&amp;SerialNum=2007182470"/>
    <hyperlink ref="A60" r:id="rId34" display="http://www.westlaw.com/Find/Default.wl?rs=dfa1.0&amp;vr=2.0&amp;DB=506&amp;FindType=Y&amp;SerialNum=2007143166"/>
    <hyperlink ref="A175" r:id="rId35" display="http://www.westlaw.com/Find/Default.wl?rs=dfa1.0&amp;vr=2.0&amp;DB=6538&amp;FindType=Y&amp;SerialNum=2007136466"/>
    <hyperlink ref="A23" r:id="rId36" display="http://www.westlaw.com/Find/Default.wl?rs=dfa1.0&amp;vr=2.0&amp;DB=506&amp;FindType=Y&amp;SerialNum=2007113658"/>
    <hyperlink ref="A37" r:id="rId37" display="http://www.westlaw.com/Find/Default.wl?rs=dfa1.0&amp;vr=2.0&amp;DB=506&amp;FindType=Y&amp;SerialNum=2007113829"/>
    <hyperlink ref="A176" r:id="rId38" display="http://www.westlaw.com/Find/Default.wl?rs=dfa1.0&amp;vr=2.0&amp;DB=6538&amp;FindType=Y&amp;SerialNum=2007123773"/>
    <hyperlink ref="A61" r:id="rId39" display="http://www.westlaw.com/Find/Default.wl?rs=dfa1.0&amp;vr=2.0&amp;DB=6538&amp;FindType=Y&amp;SerialNum=2007112429"/>
    <hyperlink ref="A62" r:id="rId40" display="http://www.westlaw.com/Find/Default.wl?rs=dfa1.0&amp;vr=2.0&amp;DB=6538&amp;FindType=Y&amp;SerialNum=2007112430"/>
    <hyperlink ref="A63" r:id="rId41" display="http://www.westlaw.com/Find/Default.wl?rs=dfa1.0&amp;vr=2.0&amp;DB=6538&amp;FindType=Y&amp;SerialNum=2007112432"/>
    <hyperlink ref="A64" r:id="rId42" display="http://www.westlaw.com/Find/Default.wl?rs=dfa1.0&amp;vr=2.0&amp;DB=506&amp;FindType=Y&amp;SerialNum=2007097953"/>
    <hyperlink ref="A65" r:id="rId43" display="http://www.westlaw.com/Find/Default.wl?rs=dfa1.0&amp;vr=2.0&amp;DB=6538&amp;FindType=Y&amp;SerialNum=2007103280"/>
    <hyperlink ref="A177" r:id="rId44" display="http://www.westlaw.com/Find/Default.wl?rs=dfa1.0&amp;vr=2.0&amp;DB=6538&amp;FindType=Y&amp;SerialNum=2007096584"/>
    <hyperlink ref="A178" r:id="rId45" display="http://www.westlaw.com/Find/Default.wl?rs=dfa1.0&amp;vr=2.0&amp;DB=6538&amp;FindType=Y&amp;SerialNum=2007084139"/>
    <hyperlink ref="A179" r:id="rId46" display="http://www.westlaw.com/Find/Default.wl?rs=dfa1.0&amp;vr=2.0&amp;DB=6538&amp;FindType=Y&amp;SerialNum=2007084140"/>
    <hyperlink ref="A180" r:id="rId47" display="http://www.westlaw.com/Find/Default.wl?rs=dfa1.0&amp;vr=2.0&amp;DB=6538&amp;FindType=Y&amp;SerialNum=2007084142"/>
    <hyperlink ref="A181" r:id="rId48" display="http://www.westlaw.com/Find/Default.wl?rs=dfa1.0&amp;vr=2.0&amp;DB=6538&amp;FindType=Y&amp;SerialNum=2007084143"/>
    <hyperlink ref="A182" r:id="rId49" display="http://www.westlaw.com/Find/Default.wl?rs=dfa1.0&amp;vr=2.0&amp;DB=6538&amp;FindType=Y&amp;SerialNum=2007084763"/>
    <hyperlink ref="A183" r:id="rId50" display="http://www.westlaw.com/Find/Default.wl?rs=dfa1.0&amp;vr=2.0&amp;DB=6538&amp;FindType=Y&amp;SerialNum=2007084783"/>
    <hyperlink ref="A184" r:id="rId51" display="http://www.westlaw.com/Find/Default.wl?rs=dfa1.0&amp;vr=2.0&amp;DB=6538&amp;FindType=Y&amp;SerialNum=2007084882"/>
    <hyperlink ref="A185" r:id="rId52" display="http://www.westlaw.com/Find/Default.wl?rs=dfa1.0&amp;vr=2.0&amp;DB=6538&amp;FindType=Y&amp;SerialNum=2007084883"/>
    <hyperlink ref="A45" r:id="rId53" display="http://www.westlaw.com/Find/Default.wl?rs=dfa1.0&amp;vr=2.0&amp;DB=6538&amp;FindType=Y&amp;SerialNum=2007066434"/>
    <hyperlink ref="A186" r:id="rId54" display="http://www.westlaw.com/Find/Default.wl?rs=dfa1.0&amp;vr=2.0&amp;DB=6538&amp;FindType=Y&amp;SerialNum=2007066435"/>
    <hyperlink ref="A187" r:id="rId55" display="http://www.westlaw.com/Find/Default.wl?rs=dfa1.0&amp;vr=2.0&amp;DB=6538&amp;FindType=Y&amp;SerialNum=2007066436"/>
    <hyperlink ref="A188" r:id="rId56" display="http://www.westlaw.com/Find/Default.wl?rs=dfa1.0&amp;vr=2.0&amp;DB=6538&amp;FindType=Y&amp;SerialNum=2007066439"/>
    <hyperlink ref="A189" r:id="rId57" display="http://www.westlaw.com/Find/Default.wl?rs=dfa1.0&amp;vr=2.0&amp;DB=6538&amp;FindType=Y&amp;SerialNum=2007066440"/>
    <hyperlink ref="A190" r:id="rId58" display="http://www.westlaw.com/Find/Default.wl?rs=dfa1.0&amp;vr=2.0&amp;DB=6538&amp;FindType=Y&amp;SerialNum=2007066441"/>
    <hyperlink ref="A67" r:id="rId59" display="http://www.westlaw.com/Find/Default.wl?rs=dfa1.0&amp;vr=2.0&amp;DB=506&amp;FindType=Y&amp;SerialNum=2007061146"/>
    <hyperlink ref="A191" r:id="rId60" display="http://www.westlaw.com/Find/Default.wl?rs=dfa1.0&amp;vr=2.0&amp;DB=6538&amp;FindType=Y&amp;SerialNum=2007061220"/>
    <hyperlink ref="A192" r:id="rId61" display="http://www.westlaw.com/Find/Default.wl?rs=dfa1.0&amp;vr=2.0&amp;DB=6538&amp;FindType=Y&amp;SerialNum=2007061223"/>
    <hyperlink ref="A68" r:id="rId62" display="http://www.westlaw.com/Find/Default.wl?rs=dfa1.0&amp;vr=2.0&amp;DB=506&amp;FindType=Y&amp;SerialNum=2007058259"/>
    <hyperlink ref="A69" r:id="rId63" display="http://www.westlaw.com/Find/Default.wl?rs=dfa1.0&amp;vr=2.0&amp;DB=6538&amp;FindType=Y&amp;SerialNum=2007059186"/>
    <hyperlink ref="A70" r:id="rId64" display="http://www.westlaw.com/Find/Default.wl?rs=dfa1.0&amp;vr=2.0&amp;DB=6538&amp;FindType=Y&amp;SerialNum=2007049971"/>
    <hyperlink ref="A71" r:id="rId65" display="http://www.westlaw.com/Find/Default.wl?rs=dfa1.0&amp;vr=2.0&amp;DB=6538&amp;FindType=Y&amp;SerialNum=2007050247"/>
    <hyperlink ref="A193" r:id="rId66" display="http://www.westlaw.com/Find/Default.wl?rs=dfa1.0&amp;vr=2.0&amp;DB=6538&amp;FindType=Y&amp;SerialNum=2007057978"/>
    <hyperlink ref="A194" r:id="rId67" display="http://www.westlaw.com/Find/Default.wl?rs=dfa1.0&amp;vr=2.0&amp;DB=6538&amp;FindType=Y&amp;SerialNum=2007059130"/>
    <hyperlink ref="A72" r:id="rId68" display="http://www.westlaw.com/Find/Default.wl?rs=dfa1.0&amp;vr=2.0&amp;DB=6538&amp;FindType=Y&amp;SerialNum=2007059131"/>
    <hyperlink ref="A195" r:id="rId69" display="http://www.westlaw.com/Find/Default.wl?rs=dfa1.0&amp;vr=2.0&amp;DB=6538&amp;FindType=Y&amp;SerialNum=2006995288"/>
    <hyperlink ref="A73" r:id="rId70" display="http://www.westlaw.com/Find/Default.wl?rs=dfa1.0&amp;vr=2.0&amp;DB=6538&amp;FindType=Y&amp;SerialNum=2006990532"/>
    <hyperlink ref="A74" r:id="rId71" display="http://www.westlaw.com/Find/Default.wl?rs=dfa1.0&amp;vr=2.0&amp;DB=6538&amp;FindType=Y&amp;SerialNum=2006986917"/>
    <hyperlink ref="A196" r:id="rId72" display="http://www.westlaw.com/Find/Default.wl?rs=dfa1.0&amp;vr=2.0&amp;DB=6538&amp;FindType=Y&amp;SerialNum=2006979833"/>
    <hyperlink ref="A75" r:id="rId73" display="http://www.westlaw.com/Find/Default.wl?rs=dfa1.0&amp;vr=2.0&amp;DB=6538&amp;FindType=Y&amp;SerialNum=2006969875"/>
    <hyperlink ref="A76" r:id="rId74" display="http://www.westlaw.com/Find/Default.wl?rs=dfa1.0&amp;vr=2.0&amp;DB=6538&amp;FindType=Y&amp;SerialNum=2006959967"/>
    <hyperlink ref="A77" r:id="rId75" display="http://www.westlaw.com/Find/Default.wl?rs=dfa1.0&amp;vr=2.0&amp;DB=6538&amp;FindType=Y&amp;SerialNum=2006939443"/>
    <hyperlink ref="A78" r:id="rId76" display="http://www.westlaw.com/Find/Default.wl?rs=dfa1.0&amp;vr=2.0&amp;DB=6538&amp;FindType=Y&amp;SerialNum=2006940508"/>
    <hyperlink ref="A197" r:id="rId77" display="http://www.westlaw.com/Find/Default.wl?rs=dfa1.0&amp;vr=2.0&amp;DB=6538&amp;FindType=Y&amp;SerialNum=2006932125"/>
    <hyperlink ref="A79" r:id="rId78" display="http://www.westlaw.com/Find/Default.wl?rs=dfa1.0&amp;vr=2.0&amp;DB=6538&amp;FindType=Y&amp;SerialNum=2006932128"/>
    <hyperlink ref="A198" r:id="rId79" display="http://www.westlaw.com/Find/Default.wl?rs=dfa1.0&amp;vr=2.0&amp;DB=6538&amp;FindType=Y&amp;SerialNum=2006925673"/>
    <hyperlink ref="A199" r:id="rId80" display="http://www.westlaw.com/Find/Default.wl?rs=dfa1.0&amp;vr=2.0&amp;DB=6538&amp;FindType=Y&amp;SerialNum=2006925675"/>
    <hyperlink ref="A200" r:id="rId81" display="http://www.westlaw.com/Find/Default.wl?rs=dfa1.0&amp;vr=2.0&amp;DB=6538&amp;FindType=Y&amp;SerialNum=2006878469"/>
    <hyperlink ref="A201" r:id="rId82" display="http://www.westlaw.com/Find/Default.wl?rs=dfa1.0&amp;vr=2.0&amp;DB=6538&amp;FindType=Y&amp;SerialNum=2006879373"/>
    <hyperlink ref="A202" r:id="rId83" display="http://www.westlaw.com/Find/Default.wl?rs=dfa1.0&amp;vr=2.0&amp;DB=6538&amp;FindType=Y&amp;SerialNum=2006879380"/>
    <hyperlink ref="A203" r:id="rId84" display="http://www.westlaw.com/Find/Default.wl?rs=dfa1.0&amp;vr=2.0&amp;DB=6538&amp;FindType=Y&amp;SerialNum=2006876878"/>
    <hyperlink ref="A204" r:id="rId85" display="http://www.westlaw.com/Find/Default.wl?rs=dfa1.0&amp;vr=2.0&amp;DB=6538&amp;FindType=Y&amp;SerialNum=2006876879"/>
    <hyperlink ref="A205" r:id="rId86" display="http://www.westlaw.com/Find/Default.wl?rs=dfa1.0&amp;vr=2.0&amp;DB=6538&amp;FindType=Y&amp;SerialNum=2006876880"/>
    <hyperlink ref="A206" r:id="rId87" display="http://www.westlaw.com/Find/Default.wl?rs=dfa1.0&amp;vr=2.0&amp;DB=6538&amp;FindType=Y&amp;SerialNum=2006870357"/>
    <hyperlink ref="A24" r:id="rId88" display="http://www.westlaw.com/Find/Default.wl?rs=dfa1.0&amp;vr=2.0&amp;DB=506&amp;FindType=Y&amp;SerialNum=2006859555"/>
    <hyperlink ref="A207" r:id="rId89" display="http://www.westlaw.com/Find/Default.wl?rs=dfa1.0&amp;vr=2.0&amp;DB=6538&amp;FindType=Y&amp;SerialNum=2006861916"/>
    <hyperlink ref="A80" r:id="rId90" display="http://www.westlaw.com/Find/Default.wl?rs=dfa1.0&amp;vr=2.0&amp;DB=6538&amp;FindType=Y&amp;SerialNum=2006861918"/>
    <hyperlink ref="A208" r:id="rId91" display="http://www.westlaw.com/Find/Default.wl?rs=dfa1.0&amp;vr=2.0&amp;DB=6538&amp;FindType=Y&amp;SerialNum=2006846090"/>
    <hyperlink ref="A209" r:id="rId92" display="http://www.westlaw.com/Find/Default.wl?rs=dfa1.0&amp;vr=2.0&amp;DB=6538&amp;FindType=Y&amp;SerialNum=2006850998"/>
    <hyperlink ref="A210" r:id="rId93" display="http://www.westlaw.com/Find/Default.wl?rs=dfa1.0&amp;vr=2.0&amp;DB=6538&amp;FindType=Y&amp;SerialNum=2006850999"/>
    <hyperlink ref="A211" r:id="rId94" display="http://www.westlaw.com/Find/Default.wl?rs=dfa1.0&amp;vr=2.0&amp;DB=6538&amp;FindType=Y&amp;SerialNum=2006825966"/>
    <hyperlink ref="A81" r:id="rId95" display="http://www.westlaw.com/Find/Default.wl?rs=dfa1.0&amp;vr=2.0&amp;DB=6538&amp;FindType=Y&amp;SerialNum=2006823215"/>
    <hyperlink ref="A212" r:id="rId96" display="http://www.westlaw.com/Find/Default.wl?rs=dfa1.0&amp;vr=2.0&amp;DB=6538&amp;FindType=Y&amp;SerialNum=2006823740"/>
    <hyperlink ref="A82" r:id="rId97" display="http://www.westlaw.com/Find/Default.wl?rs=dfa1.0&amp;vr=2.0&amp;DB=506&amp;FindType=Y&amp;SerialNum=2006804267"/>
    <hyperlink ref="A213" r:id="rId98" display="http://www.westlaw.com/Find/Default.wl?rs=dfa1.0&amp;vr=2.0&amp;DB=6538&amp;FindType=Y&amp;SerialNum=2006802790"/>
    <hyperlink ref="A214" r:id="rId99" display="http://www.westlaw.com/Find/Default.wl?rs=dfa1.0&amp;vr=2.0&amp;DB=6538&amp;FindType=Y&amp;SerialNum=2006802791"/>
    <hyperlink ref="A83" r:id="rId100" display="http://www.westlaw.com/Find/Default.wl?rs=dfa1.0&amp;vr=2.0&amp;DB=6538&amp;FindType=Y&amp;SerialNum=2006802792"/>
    <hyperlink ref="A84" r:id="rId101" display="http://www.westlaw.com/Find/Default.wl?rs=dfa1.0&amp;vr=2.0&amp;DB=6538&amp;FindType=Y&amp;SerialNum=2006802793"/>
    <hyperlink ref="A215" r:id="rId102" display="http://www.westlaw.com/Find/Default.wl?rs=dfa1.0&amp;vr=2.0&amp;DB=6538&amp;FindType=Y&amp;SerialNum=2006800102"/>
    <hyperlink ref="A85" r:id="rId103" display="http://www.westlaw.com/Find/Default.wl?rs=dfa1.0&amp;vr=2.0&amp;DB=6538&amp;FindType=Y&amp;SerialNum=2006800103"/>
    <hyperlink ref="A86" r:id="rId104" display="http://www.westlaw.com/Find/Default.wl?rs=dfa1.0&amp;vr=2.0&amp;DB=6538&amp;FindType=Y&amp;SerialNum=2006800108"/>
    <hyperlink ref="A87" r:id="rId105" display="http://www.westlaw.com/Find/Default.wl?rs=dfa1.0&amp;vr=2.0&amp;DB=6538&amp;FindType=Y&amp;SerialNum=2006800109"/>
    <hyperlink ref="A216" r:id="rId106" display="http://www.westlaw.com/Find/Default.wl?rs=dfa1.0&amp;vr=2.0&amp;DB=6538&amp;FindType=Y&amp;SerialNum=2006777211"/>
    <hyperlink ref="A217" r:id="rId107" display="http://www.westlaw.com/Find/Default.wl?rs=dfa1.0&amp;vr=2.0&amp;DB=6538&amp;FindType=Y&amp;SerialNum=2006777212"/>
    <hyperlink ref="A88" r:id="rId108" display="http://www.westlaw.com/Find/Default.wl?rs=dfa1.0&amp;vr=2.0&amp;DB=6538&amp;FindType=Y&amp;SerialNum=2006777408"/>
    <hyperlink ref="A218" r:id="rId109" display="http://www.westlaw.com/Find/Default.wl?rs=dfa1.0&amp;vr=2.0&amp;DB=6538&amp;FindType=Y&amp;SerialNum=2006793149"/>
    <hyperlink ref="A219" r:id="rId110" display="http://www.westlaw.com/Find/Default.wl?rs=dfa1.0&amp;vr=2.0&amp;DB=6538&amp;FindType=Y&amp;SerialNum=2006777406"/>
    <hyperlink ref="A220" r:id="rId111" display="http://www.westlaw.com/Find/Default.wl?rs=dfa1.0&amp;vr=2.0&amp;DB=6538&amp;FindType=Y&amp;SerialNum=2006760039"/>
    <hyperlink ref="A89" r:id="rId112" display="http://www.westlaw.com/Find/Default.wl?rs=dfa1.0&amp;vr=2.0&amp;FindType=Y&amp;SerialNum=2006760040"/>
    <hyperlink ref="A90" r:id="rId113" display="http://www.westlaw.com/Find/Default.wl?rs=dfa1.0&amp;vr=2.0&amp;DB=6538&amp;FindType=Y&amp;SerialNum=2006760145"/>
    <hyperlink ref="A221" r:id="rId114" display="http://www.westlaw.com/Find/Default.wl?rs=dfa1.0&amp;vr=2.0&amp;FindType=Y&amp;SerialNum=2006760175"/>
    <hyperlink ref="A91" r:id="rId115" display="http://www.westlaw.com/Find/Default.wl?rs=dfa1.0&amp;vr=2.0&amp;DB=6538&amp;FindType=Y&amp;SerialNum=2006749540"/>
    <hyperlink ref="A92" r:id="rId116" display="http://www.westlaw.com/Find/Default.wl?rs=dfa1.0&amp;vr=2.0&amp;DB=6538&amp;FindType=Y&amp;SerialNum=2006749746"/>
    <hyperlink ref="A93" r:id="rId117" display="http://www.westlaw.com/Find/Default.wl?rs=dfa1.0&amp;vr=2.0&amp;DB=6538&amp;FindType=Y&amp;SerialNum=2006749747"/>
    <hyperlink ref="A222" r:id="rId118" display="http://www.westlaw.com/Find/Default.wl?rs=dfa1.0&amp;vr=2.0&amp;DB=6538&amp;FindType=Y&amp;SerialNum=2006742818"/>
    <hyperlink ref="A223" r:id="rId119" display="http://www.westlaw.com/Find/Default.wl?rs=dfa1.0&amp;vr=2.0&amp;DB=6538&amp;FindType=Y&amp;SerialNum=2006742819"/>
    <hyperlink ref="A224" r:id="rId120" display="http://www.westlaw.com/Find/Default.wl?rs=dfa1.0&amp;vr=2.0&amp;DB=6538&amp;FindType=Y&amp;SerialNum=2006742820"/>
    <hyperlink ref="A94" r:id="rId121" display="http://www.westlaw.com/Find/Default.wl?rs=dfa1.0&amp;vr=2.0&amp;DB=6538&amp;FindType=Y&amp;SerialNum=2006742821"/>
    <hyperlink ref="A225" r:id="rId122" display="http://www.westlaw.com/Find/Default.wl?rs=dfa1.0&amp;vr=2.0&amp;DB=6538&amp;FindType=Y&amp;SerialNum=2006749538"/>
    <hyperlink ref="A95" r:id="rId123" display="http://www.westlaw.com/Find/Default.wl?rs=dfa1.0&amp;vr=2.0&amp;DB=6538&amp;FindType=Y&amp;SerialNum=2006739476"/>
    <hyperlink ref="A226" r:id="rId124" display="http://www.westlaw.com/Find/Default.wl?rs=dfa1.0&amp;vr=2.0&amp;DB=6538&amp;FindType=Y&amp;SerialNum=2006742644"/>
    <hyperlink ref="A227" r:id="rId125" display="http://www.westlaw.com/Find/Default.wl?rs=dfa1.0&amp;vr=2.0&amp;DB=6538&amp;FindType=Y&amp;SerialNum=2006742645"/>
    <hyperlink ref="A96" r:id="rId126" display="http://www.westlaw.com/Find/Default.wl?rs=dfa1.0&amp;vr=2.0&amp;DB=506&amp;FindType=Y&amp;SerialNum=2006720501"/>
    <hyperlink ref="A97" r:id="rId127" display="http://www.westlaw.com/Find/Default.wl?rs=dfa1.0&amp;vr=2.0&amp;DB=6538&amp;FindType=Y&amp;SerialNum=2006739475"/>
    <hyperlink ref="A98" r:id="rId128" display="http://www.westlaw.com/Find/Default.wl?rs=dfa1.0&amp;vr=2.0&amp;DB=6538&amp;FindType=Y&amp;SerialNum=2006711805"/>
    <hyperlink ref="A228" r:id="rId129" display="http://www.westlaw.com/Find/Default.wl?rs=dfa1.0&amp;vr=2.0&amp;DB=6538&amp;FindType=Y&amp;SerialNum=2006676547"/>
    <hyperlink ref="A99" r:id="rId130" display="http://www.westlaw.com/Find/Default.wl?rs=dfa1.0&amp;vr=2.0&amp;DB=6538&amp;FindType=Y&amp;SerialNum=2006665886"/>
    <hyperlink ref="A100" r:id="rId131" display="http://www.westlaw.com/Find/Default.wl?rs=dfa1.0&amp;vr=2.0&amp;DB=6538&amp;FindType=Y&amp;SerialNum=2006665887"/>
    <hyperlink ref="A101" r:id="rId132" display="http://www.westlaw.com/Find/Default.wl?rs=dfa1.0&amp;vr=2.0&amp;DB=6538&amp;FindType=Y&amp;SerialNum=2006659016"/>
    <hyperlink ref="A229" r:id="rId133" display="http://www.westlaw.com/Find/Default.wl?rs=dfa1.0&amp;vr=2.0&amp;DB=6538&amp;FindType=Y&amp;SerialNum=2006611721"/>
    <hyperlink ref="A102" r:id="rId134" display="http://www.westlaw.com/Find/Default.wl?rs=dfa1.0&amp;vr=2.0&amp;DB=6538&amp;FindType=Y&amp;SerialNum=2006604206"/>
    <hyperlink ref="A103" r:id="rId135" display="http://www.westlaw.com/Find/Default.wl?rs=dfa1.0&amp;vr=2.0&amp;DB=6538&amp;FindType=Y&amp;SerialNum=2006604928"/>
    <hyperlink ref="A104" r:id="rId136" display="http://www.westlaw.com/Find/Default.wl?rs=dfa1.0&amp;vr=2.0&amp;DB=6538&amp;FindType=Y&amp;SerialNum=2006604929"/>
    <hyperlink ref="A230" r:id="rId137" display="http://www.westlaw.com/Find/Default.wl?rs=dfa1.0&amp;vr=2.0&amp;DB=6538&amp;FindType=Y&amp;SerialNum=2006596774"/>
    <hyperlink ref="A105" r:id="rId138" display="http://www.westlaw.com/Find/Default.wl?rs=dfa1.0&amp;vr=2.0&amp;DB=6538&amp;FindType=Y&amp;SerialNum=2006586613"/>
    <hyperlink ref="A106" r:id="rId139" display="http://www.westlaw.com/Find/Default.wl?rs=dfa1.0&amp;vr=2.0&amp;DB=6538&amp;FindType=Y&amp;SerialNum=2006586616"/>
    <hyperlink ref="A107" r:id="rId140" display="http://www.westlaw.com/Find/Default.wl?rs=dfa1.0&amp;vr=2.0&amp;DB=6538&amp;FindType=Y&amp;SerialNum=2006586618"/>
    <hyperlink ref="A231" r:id="rId141" display="http://www.westlaw.com/Find/Default.wl?rs=dfa1.0&amp;vr=2.0&amp;DB=6538&amp;FindType=Y&amp;SerialNum=2006587466"/>
    <hyperlink ref="A232" r:id="rId142" display="http://www.westlaw.com/Find/Default.wl?rs=dfa1.0&amp;vr=2.0&amp;DB=6538&amp;FindType=Y&amp;SerialNum=2006574291"/>
    <hyperlink ref="A108" r:id="rId143" display="http://www.westlaw.com/Find/Default.wl?rs=dfa1.0&amp;vr=2.0&amp;DB=6538&amp;FindType=Y&amp;SerialNum=2006579168"/>
    <hyperlink ref="A109" r:id="rId144" display="http://www.westlaw.com/Find/Default.wl?rs=dfa1.0&amp;vr=2.0&amp;DB=6538&amp;FindType=Y&amp;SerialNum=2006579169"/>
    <hyperlink ref="A233" r:id="rId145" display="http://www.westlaw.com/Find/Default.wl?rs=dfa1.0&amp;vr=2.0&amp;DB=6538&amp;FindType=Y&amp;SerialNum=2006579170"/>
    <hyperlink ref="A234" r:id="rId146" display="http://www.westlaw.com/Find/Default.wl?rs=dfa1.0&amp;vr=2.0&amp;DB=6538&amp;FindType=Y&amp;SerialNum=2006567338"/>
    <hyperlink ref="A235" r:id="rId147" display="http://www.westlaw.com/Find/Default.wl?rs=dfa1.0&amp;vr=2.0&amp;DB=6538&amp;FindType=Y&amp;SerialNum=2006564246"/>
    <hyperlink ref="A236" r:id="rId148" display="http://www.westlaw.com/Find/Default.wl?rs=dfa1.0&amp;vr=2.0&amp;DB=6538&amp;FindType=Y&amp;SerialNum=2006564247"/>
    <hyperlink ref="A237" r:id="rId149" display="http://www.westlaw.com/Find/Default.wl?rs=dfa1.0&amp;vr=2.0&amp;DB=6538&amp;FindType=Y&amp;SerialNum=2006551500"/>
    <hyperlink ref="A110" r:id="rId150" display="http://www.westlaw.com/Find/Default.wl?rs=dfa1.0&amp;vr=2.0&amp;DB=6538&amp;FindType=Y&amp;SerialNum=2006544256"/>
    <hyperlink ref="A238" r:id="rId151" display="http://www.westlaw.com/Find/Default.wl?rs=dfa1.0&amp;vr=2.0&amp;DB=6538&amp;FindType=Y&amp;SerialNum=2006537030"/>
    <hyperlink ref="A111" r:id="rId152" display="http://www.westlaw.com/Find/Default.wl?rs=dfa1.0&amp;vr=2.0&amp;DB=506&amp;FindType=Y&amp;SerialNum=2006525405"/>
    <hyperlink ref="A239" r:id="rId153" display="http://www.westlaw.com/Find/Default.wl?rs=dfa1.0&amp;vr=2.0&amp;DB=6538&amp;FindType=Y&amp;SerialNum=2006522724"/>
    <hyperlink ref="A240" r:id="rId154" display="http://www.westlaw.com/Find/Default.wl?rs=dfa1.0&amp;vr=2.0&amp;DB=6538&amp;FindType=Y&amp;SerialNum=2006522726"/>
    <hyperlink ref="A241" r:id="rId155" display="http://www.westlaw.com/Find/Default.wl?rs=dfa1.0&amp;vr=2.0&amp;DB=6538&amp;FindType=Y&amp;SerialNum=2006524066"/>
    <hyperlink ref="A112" r:id="rId156" display="http://www.westlaw.com/Find/Default.wl?rs=dfa1.0&amp;vr=2.0&amp;DB=6538&amp;FindType=Y&amp;SerialNum=2006521795"/>
    <hyperlink ref="A242" r:id="rId157" display="http://www.westlaw.com/Find/Default.wl?rs=dfa1.0&amp;vr=2.0&amp;DB=6538&amp;FindType=Y&amp;SerialNum=2006519563"/>
    <hyperlink ref="A243" r:id="rId158" display="http://www.westlaw.com/Find/Default.wl?rs=dfa1.0&amp;vr=2.0&amp;DB=6538&amp;FindType=Y&amp;SerialNum=2006519564"/>
    <hyperlink ref="A113" r:id="rId159" display="http://www.westlaw.com/Find/Default.wl?rs=dfa1.0&amp;vr=2.0&amp;DB=6538&amp;FindType=Y&amp;SerialNum=2006519565"/>
    <hyperlink ref="A244" r:id="rId160" display="http://www.westlaw.com/Find/Default.wl?rs=dfa1.0&amp;vr=2.0&amp;DB=6538&amp;FindType=Y&amp;SerialNum=2006505137"/>
    <hyperlink ref="A245" r:id="rId161" display="http://www.westlaw.com/Find/Default.wl?rs=dfa1.0&amp;vr=2.0&amp;DB=6538&amp;FindType=Y&amp;SerialNum=2006505138"/>
    <hyperlink ref="A25" r:id="rId162" display="http://www.westlaw.com/Find/Default.wl?rs=dfa1.0&amp;vr=2.0&amp;DB=506&amp;FindType=Y&amp;SerialNum=2006511124"/>
    <hyperlink ref="A246" r:id="rId163" display="http://www.westlaw.com/Find/Default.wl?rs=dfa1.0&amp;vr=2.0&amp;DB=6538&amp;FindType=Y&amp;SerialNum=2006496449"/>
    <hyperlink ref="A247" r:id="rId164" display="http://www.westlaw.com/Find/Default.wl?rs=dfa1.0&amp;vr=2.0&amp;DB=6538&amp;FindType=Y&amp;SerialNum=2006496450"/>
    <hyperlink ref="A248" r:id="rId165" display="http://www.westlaw.com/Find/Default.wl?rs=dfa1.0&amp;vr=2.0&amp;DB=6538&amp;FindType=Y&amp;SerialNum=2006496451"/>
    <hyperlink ref="A249" r:id="rId166" display="http://www.westlaw.com/Find/Default.wl?rs=dfa1.0&amp;vr=2.0&amp;DB=6538&amp;FindType=Y&amp;SerialNum=2006496453"/>
    <hyperlink ref="A250" r:id="rId167" display="http://www.westlaw.com/Find/Default.wl?rs=dfa1.0&amp;vr=2.0&amp;DB=6538&amp;FindType=Y&amp;SerialNum=2006496611"/>
    <hyperlink ref="A251" r:id="rId168" display="http://www.westlaw.com/Find/Default.wl?rs=dfa1.0&amp;vr=2.0&amp;DB=6538&amp;FindType=Y&amp;SerialNum=2006496612"/>
    <hyperlink ref="A252" r:id="rId169" display="http://www.westlaw.com/Find/Default.wl?rs=dfa1.0&amp;vr=2.0&amp;DB=6538&amp;FindType=Y&amp;SerialNum=2006496705"/>
    <hyperlink ref="A253" r:id="rId170" display="http://www.westlaw.com/Find/Default.wl?rs=dfa1.0&amp;vr=2.0&amp;DB=6538&amp;FindType=Y&amp;SerialNum=2006496707"/>
    <hyperlink ref="A254" r:id="rId171" display="http://www.westlaw.com/Find/Default.wl?rs=dfa1.0&amp;vr=2.0&amp;DB=6538&amp;FindType=Y&amp;SerialNum=2006470264"/>
    <hyperlink ref="A255" r:id="rId172" display="http://www.westlaw.com/Find/Default.wl?rs=dfa1.0&amp;vr=2.0&amp;DB=6538&amp;FindType=Y&amp;SerialNum=2006470265"/>
    <hyperlink ref="A114" r:id="rId173" display="http://www.westlaw.com/Find/Default.wl?rs=dfa1.0&amp;vr=2.0&amp;DB=6538&amp;FindType=Y&amp;SerialNum=2006466425"/>
    <hyperlink ref="A26" r:id="rId174" display="http://www.westlaw.com/Find/Default.wl?rs=dfa1.0&amp;vr=2.0&amp;DB=506&amp;FindType=Y&amp;SerialNum=2006467377"/>
    <hyperlink ref="A256" r:id="rId175" display="http://www.westlaw.com/Find/Default.wl?rs=dfa1.0&amp;vr=2.0&amp;DB=6538&amp;FindType=Y&amp;SerialNum=2006467896"/>
    <hyperlink ref="A115" r:id="rId176" display="http://www.westlaw.com/Find/Default.wl?rs=dfa1.0&amp;vr=2.0&amp;DB=6538&amp;FindType=Y&amp;SerialNum=2006467898"/>
    <hyperlink ref="A116" r:id="rId177" display="http://www.westlaw.com/Find/Default.wl?rs=dfa1.0&amp;vr=2.0&amp;DB=6538&amp;FindType=Y&amp;SerialNum=2006465140"/>
    <hyperlink ref="A117" r:id="rId178" display="http://www.westlaw.com/Find/Default.wl?rs=dfa1.0&amp;vr=2.0&amp;DB=6538&amp;FindType=Y&amp;SerialNum=2006448467"/>
    <hyperlink ref="A118" r:id="rId179" display="http://www.westlaw.com/Find/Default.wl?rs=dfa1.0&amp;vr=2.0&amp;DB=6538&amp;FindType=Y&amp;SerialNum=2006448543"/>
    <hyperlink ref="A119" r:id="rId180" display="http://www.westlaw.com/Find/Default.wl?rs=dfa1.0&amp;vr=2.0&amp;DB=6538&amp;FindType=Y&amp;SerialNum=2006448545"/>
    <hyperlink ref="A257" r:id="rId181" display="http://www.westlaw.com/Find/Default.wl?rs=dfa1.0&amp;vr=2.0&amp;DB=6538&amp;FindType=Y&amp;SerialNum=2006431820"/>
    <hyperlink ref="A120" r:id="rId182" display="http://www.westlaw.com/Find/Default.wl?rs=dfa1.0&amp;vr=2.0&amp;DB=6538&amp;FindType=Y&amp;SerialNum=2006431821"/>
    <hyperlink ref="A258" r:id="rId183" display="http://www.westlaw.com/Find/Default.wl?rs=dfa1.0&amp;vr=2.0&amp;DB=6538&amp;FindType=Y&amp;SerialNum=2006431822"/>
    <hyperlink ref="A121" r:id="rId184" display="http://www.westlaw.com/Find/Default.wl?rs=dfa1.0&amp;vr=2.0&amp;DB=6538&amp;FindType=Y&amp;SerialNum=2006428321"/>
    <hyperlink ref="A122" r:id="rId185" display="http://www.westlaw.com/Find/Default.wl?rs=dfa1.0&amp;vr=2.0&amp;DB=6538&amp;FindType=Y&amp;SerialNum=2006421765"/>
    <hyperlink ref="A123" r:id="rId186" display="http://www.westlaw.com/Find/Default.wl?rs=dfa1.0&amp;vr=2.0&amp;DB=6538&amp;FindType=Y&amp;SerialNum=2006419209"/>
    <hyperlink ref="A124" r:id="rId187" display="http://www.westlaw.com/Find/Default.wl?rs=dfa1.0&amp;vr=2.0&amp;DB=6538&amp;FindType=Y&amp;SerialNum=2006408695"/>
    <hyperlink ref="A125" r:id="rId188" display="http://www.westlaw.com/Find/Default.wl?rs=dfa1.0&amp;vr=2.0&amp;DB=6538&amp;FindType=Y&amp;SerialNum=2006393000"/>
    <hyperlink ref="A126" r:id="rId189" display="http://www.westlaw.com/Find/Default.wl?rs=dfa1.0&amp;vr=2.0&amp;DB=6538&amp;FindType=Y&amp;SerialNum=2006393001"/>
    <hyperlink ref="A127" r:id="rId190" display="http://www.westlaw.com/Find/Default.wl?rs=dfa1.0&amp;vr=2.0&amp;DB=506&amp;FindType=Y&amp;SerialNum=2006379357"/>
    <hyperlink ref="A259" r:id="rId191" display="http://www.westlaw.com/Find/Default.wl?rs=dfa1.0&amp;vr=2.0&amp;DB=6538&amp;FindType=Y&amp;SerialNum=2006373444"/>
    <hyperlink ref="A128" r:id="rId192" display="http://www.westlaw.com/Find/Default.wl?rs=dfa1.0&amp;vr=2.0&amp;DB=6538&amp;FindType=Y&amp;SerialNum=2006373445"/>
    <hyperlink ref="A129" r:id="rId193" display="http://www.westlaw.com/Find/Default.wl?rs=dfa1.0&amp;vr=2.0&amp;DB=6538&amp;FindType=Y&amp;SerialNum=2006365984"/>
    <hyperlink ref="A27" r:id="rId194" display="http://www.westlaw.com/Find/Default.wl?rs=dfa1.0&amp;vr=2.0&amp;DB=506&amp;FindType=Y&amp;SerialNum=2006361581"/>
    <hyperlink ref="A260" r:id="rId195" display="http://www.westlaw.com/Find/Default.wl?rs=dfa1.0&amp;vr=2.0&amp;DB=6538&amp;FindType=Y&amp;SerialNum=2006351317"/>
    <hyperlink ref="A261" r:id="rId196" display="http://www.westlaw.com/Find/Default.wl?rs=dfa1.0&amp;vr=2.0&amp;DB=6538&amp;FindType=Y&amp;SerialNum=2006339349"/>
    <hyperlink ref="A130" r:id="rId197" display="http://www.westlaw.com/Find/Default.wl?rs=dfa1.0&amp;vr=2.0&amp;DB=6538&amp;FindType=Y&amp;SerialNum=2006339634"/>
    <hyperlink ref="A131" r:id="rId198" display="http://www.westlaw.com/Find/Default.wl?rs=dfa1.0&amp;vr=2.0&amp;DB=6538&amp;FindType=Y&amp;SerialNum=2006332061"/>
    <hyperlink ref="A132" r:id="rId199" display="http://www.westlaw.com/Find/Default.wl?rs=dfa1.0&amp;vr=2.0&amp;DB=6538&amp;FindType=Y&amp;SerialNum=2006339223"/>
    <hyperlink ref="A133" r:id="rId200" display="http://www.westlaw.com/Find/Default.wl?rs=dfa1.0&amp;vr=2.0&amp;DB=6538&amp;FindType=Y&amp;SerialNum=2006330104"/>
    <hyperlink ref="A262" r:id="rId201" display="http://www.westlaw.com/Find/Default.wl?rs=dfa1.0&amp;vr=2.0&amp;DB=6538&amp;FindType=Y&amp;SerialNum=2006324641"/>
    <hyperlink ref="A263" r:id="rId202" display="http://www.westlaw.com/Find/Default.wl?rs=dfa1.0&amp;vr=2.0&amp;DB=6538&amp;FindType=Y&amp;SerialNum=2006330397"/>
    <hyperlink ref="A264" r:id="rId203" display="http://www.westlaw.com/Find/Default.wl?rs=dfa1.0&amp;vr=2.0&amp;DB=6538&amp;FindType=Y&amp;SerialNum=2006320518"/>
    <hyperlink ref="A265" r:id="rId204" display="http://www.westlaw.com/Find/Default.wl?rs=dfa1.0&amp;vr=2.0&amp;DB=6538&amp;FindType=Y&amp;SerialNum=2006304914"/>
    <hyperlink ref="A266" r:id="rId205" display="http://www.westlaw.com/Find/Default.wl?rs=dfa1.0&amp;vr=2.0&amp;DB=6538&amp;FindType=Y&amp;SerialNum=2006304953"/>
    <hyperlink ref="A267" r:id="rId206" display="http://www.westlaw.com/Find/Default.wl?rs=dfa1.0&amp;vr=2.0&amp;DB=6538&amp;FindType=Y&amp;SerialNum=2006307034"/>
    <hyperlink ref="A40" r:id="rId207" display="http://www.westlaw.com/Find/Default.wl?rs=dfa1.0&amp;vr=2.0&amp;DB=506&amp;FindType=Y&amp;SerialNum=2006272155"/>
    <hyperlink ref="A268" r:id="rId208" display="http://www.westlaw.com/Find/Default.wl?rs=dfa1.0&amp;vr=2.0&amp;DB=6538&amp;FindType=Y&amp;SerialNum=2006259330"/>
    <hyperlink ref="A134" r:id="rId209" display="http://www.westlaw.com/Find/Default.wl?rs=dfa1.0&amp;vr=2.0&amp;DB=6538&amp;FindType=Y&amp;SerialNum=2006254073"/>
    <hyperlink ref="A135" r:id="rId210" display="http://www.westlaw.com/Find/Default.wl?rs=dfa1.0&amp;vr=2.0&amp;DB=6538&amp;FindType=Y&amp;SerialNum=2006236424"/>
    <hyperlink ref="A269" r:id="rId211" display="http://www.westlaw.com/Find/Default.wl?rs=dfa1.0&amp;vr=2.0&amp;DB=6538&amp;FindType=Y&amp;SerialNum=2006236425"/>
    <hyperlink ref="A28" r:id="rId212" display="http://www.westlaw.com/Find/Default.wl?rs=dfa1.0&amp;vr=2.0&amp;DB=506&amp;FindType=Y&amp;SerialNum=2006192642"/>
    <hyperlink ref="A136" r:id="rId213" display="http://www.westlaw.com/Find/Default.wl?rs=dfa1.0&amp;vr=2.0&amp;DB=6538&amp;FindType=Y&amp;SerialNum=2006174343"/>
    <hyperlink ref="A137" r:id="rId214" display="http://www.westlaw.com/Find/Default.wl?rs=dfa1.0&amp;vr=2.0&amp;DB=6538&amp;FindType=Y&amp;SerialNum=2006174353"/>
    <hyperlink ref="A138" r:id="rId215" display="http://www.westlaw.com/Find/Default.wl?rs=dfa1.0&amp;vr=2.0&amp;DB=6538&amp;FindType=Y&amp;SerialNum=2006167460"/>
    <hyperlink ref="A139" r:id="rId216" display="http://www.westlaw.com/Find/Default.wl?rs=dfa1.0&amp;vr=2.0&amp;DB=6538&amp;FindType=Y&amp;SerialNum=2006168874"/>
    <hyperlink ref="A140" r:id="rId217" display="http://www.westlaw.com/Find/Default.wl?rs=dfa1.0&amp;vr=2.0&amp;DB=6538&amp;FindType=Y&amp;SerialNum=2006147211"/>
    <hyperlink ref="A141" r:id="rId218" display="http://www.westlaw.com/Find/Default.wl?rs=dfa1.0&amp;vr=2.0&amp;DB=6538&amp;FindType=Y&amp;SerialNum=2006145249"/>
    <hyperlink ref="A142" r:id="rId219" display="http://www.westlaw.com/Find/Default.wl?rs=dfa1.0&amp;vr=2.0&amp;DB=6538&amp;FindType=Y&amp;SerialNum=2006116110"/>
    <hyperlink ref="A143" r:id="rId220" display="http://www.westlaw.com/Find/Default.wl?rs=dfa1.0&amp;vr=2.0&amp;DB=506&amp;FindType=Y&amp;SerialNum=2006065785"/>
    <hyperlink ref="A144" r:id="rId221" display="http://www.westlaw.com/Find/Default.wl?rs=dfa1.0&amp;vr=2.0&amp;DB=6538&amp;FindType=Y&amp;SerialNum=2007049972"/>
    <hyperlink ref="A145" r:id="rId222" display="http://www.westlaw.com/Find/Default.wl?rs=dfa1.0&amp;vr=2.0&amp;DB=6538&amp;FindType=Y&amp;SerialNum=2005980364"/>
    <hyperlink ref="A270" r:id="rId223" display="http://www.westlaw.com/Find/Default.wl?rs=dfa1.0&amp;vr=2.0&amp;FindType=Y&amp;SerialNum=2006539492"/>
    <hyperlink ref="A271" r:id="rId224" display="http://www.westlaw.com/Find/Default.wl?rs=dfa1.0&amp;vr=2.0&amp;DB=6538&amp;FindType=Y&amp;SerialNum=2005908228"/>
    <hyperlink ref="A146" r:id="rId225" display="http://www.westlaw.com/Find/Default.wl?rs=dfa1.0&amp;vr=2.0&amp;DB=6538&amp;FindType=Y&amp;SerialNum=2005883647"/>
    <hyperlink ref="A147" r:id="rId226" display="http://www.westlaw.com/Find/Default.wl?rs=dfa1.0&amp;vr=2.0&amp;DB=506&amp;FindType=Y&amp;SerialNum=2005812820"/>
    <hyperlink ref="A148" r:id="rId227" display="http://www.westlaw.com/Find/Default.wl?rs=dfa1.0&amp;vr=2.0&amp;DB=6538&amp;FindType=Y&amp;SerialNum=2005781878"/>
    <hyperlink ref="A38" r:id="rId228" display="http://www.westlaw.com/Find/Default.wl?rs=dfa1.0&amp;vr=2.0&amp;DB=506&amp;FindType=Y&amp;SerialNum=2005781290"/>
    <hyperlink ref="A149" r:id="rId229" display="http://www.westlaw.com/Find/Default.wl?rs=dfa1.0&amp;vr=2.0&amp;DB=6538&amp;FindType=Y&amp;SerialNum=2005781877"/>
    <hyperlink ref="A150" r:id="rId230" display="http://www.westlaw.com/Find/Default.wl?rs=dfa1.0&amp;vr=2.0&amp;DB=6538&amp;FindType=Y&amp;SerialNum=2005781882"/>
    <hyperlink ref="A272" r:id="rId231" display="http://www.westlaw.com/Find/Default.wl?rs=dfa1.0&amp;vr=2.0&amp;DB=6538&amp;FindType=Y&amp;SerialNum=2005747158"/>
    <hyperlink ref="A273" r:id="rId232" display="http://www.westlaw.com/Find/Default.wl?rs=dfa1.0&amp;vr=2.0&amp;DB=6538&amp;FindType=Y&amp;SerialNum=2005747159"/>
    <hyperlink ref="A274" r:id="rId233" display="http://www.westlaw.com/Find/Default.wl?rs=dfa1.0&amp;vr=2.0&amp;DB=6538&amp;FindType=Y&amp;SerialNum=2005701592"/>
    <hyperlink ref="A151" r:id="rId234" display="http://www.westlaw.com/Find/Default.wl?rs=dfa1.0&amp;vr=2.0&amp;DB=6538&amp;FindType=Y&amp;SerialNum=2005697693"/>
    <hyperlink ref="A152" r:id="rId235" display="http://www.westlaw.com/Find/Default.wl?rs=dfa1.0&amp;vr=2.0&amp;DB=6538&amp;FindType=Y&amp;SerialNum=2005697697"/>
    <hyperlink ref="A29" r:id="rId236" display="http://www.westlaw.com/Find/Default.wl?rs=dfa1.0&amp;vr=2.0&amp;DB=506&amp;FindType=Y&amp;SerialNum=2005671794"/>
    <hyperlink ref="A153" r:id="rId237" display="http://www.westlaw.com/Find/Default.wl?rs=dfa1.0&amp;vr=2.0&amp;DB=6538&amp;FindType=Y&amp;SerialNum=2005672461"/>
    <hyperlink ref="A154" r:id="rId238" display="http://www.westlaw.com/Find/Default.wl?rs=dfa1.0&amp;vr=2.0&amp;DB=6538&amp;FindType=Y&amp;SerialNum=2005583559"/>
    <hyperlink ref="A34" r:id="rId239" display="http://www.westlaw.com/Find/Default.wl?rs=dfa1.0&amp;vr=2.0&amp;DB=506&amp;FindType=Y&amp;SerialNum=2005413407"/>
    <hyperlink ref="A30" r:id="rId240" display="http://www.westlaw.com/Find/Default.wl?rs=dfa1.0&amp;vr=2.0&amp;DB=506&amp;FindType=Y&amp;SerialNum=2005342683"/>
    <hyperlink ref="A155" r:id="rId241" display="http://www.westlaw.com/Find/Default.wl?rs=dfa1.0&amp;vr=2.0&amp;DB=506&amp;FindType=Y&amp;SerialNum=2005307225"/>
    <hyperlink ref="A156" r:id="rId242" display="http://www.westlaw.com/Find/Default.wl?rs=dfa1.0&amp;vr=2.0&amp;DB=506&amp;FindType=Y&amp;SerialNum=2005219605"/>
    <hyperlink ref="A275" r:id="rId243" display="http://www.westlaw.com/Find/Default.wl?rs=dfa1.0&amp;vr=2.0&amp;DB=6538&amp;FindType=Y&amp;SerialNum=2005236521"/>
    <hyperlink ref="A280" r:id="rId244" display="http://www.westlaw.com/Find/Default.wl?rs=dfa1.0&amp;vr=2.0&amp;DB=780&amp;FindType=Y&amp;SerialNum=2006365365"/>
    <hyperlink ref="A281" r:id="rId245" display="http://www.westlaw.com/Find/Default.wl?rs=dfa1.0&amp;vr=2.0&amp;DB=506&amp;FindType=Y&amp;SerialNum=2007185019"/>
    <hyperlink ref="A282" r:id="rId246" display="http://www.westlaw.com/Find/Default.wl?rs=dfa1.0&amp;vr=2.0&amp;DB=506&amp;FindType=Y&amp;SerialNum=2007068175"/>
    <hyperlink ref="A66" r:id="rId247" display="http://www.westlaw.com/Find/Default.wl?rs=dfa1.0&amp;vr=2.0&amp;DB=6538&amp;FindType=Y&amp;SerialNum=2007066434"/>
    <hyperlink ref="A284" r:id="rId248" display="http://www.westlaw.com/Find/Default.wl?rs=dfa1.0&amp;vr=2.0&amp;DB=506&amp;FindType=Y&amp;SerialNum=2005413525"/>
    <hyperlink ref="A285" r:id="rId249" display="http://www.westlaw.com/Find/Default.wl?rs=dfa1.0&amp;vr=2.0&amp;DB=4637&amp;FindType=Y&amp;SerialNum=2007138700"/>
    <hyperlink ref="A286" r:id="rId250" display="http://www.westlaw.com/Find/Default.wl?rs=dfa1.0&amp;vr=2.0&amp;FindType=Y&amp;SerialNum=2007062379"/>
    <hyperlink ref="A287" r:id="rId251" display="http://www.westlaw.com/Find/Default.wl?rs=dfa1.0&amp;vr=2.0&amp;FindType=Y&amp;SerialNum=2006773922"/>
    <hyperlink ref="A288" r:id="rId252" display="http://www.westlaw.com/Find/Default.wl?rs=dfa1.0&amp;vr=2.0&amp;FindType=Y&amp;SerialNum=2006588416"/>
    <hyperlink ref="A289" r:id="rId253" display="http://www.westlaw.com/Find/Default.wl?rs=dfa1.0&amp;vr=2.0&amp;DB=4637&amp;FindType=Y&amp;SerialNum=2006550919"/>
  </hyperlink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80" zoomScaleNormal="80" zoomScalePageLayoutView="80" workbookViewId="0"/>
  </sheetViews>
  <sheetFormatPr baseColWidth="10" defaultColWidth="8.83203125" defaultRowHeight="14" x14ac:dyDescent="0"/>
  <cols>
    <col min="2" max="2" width="22" customWidth="1"/>
    <col min="3" max="3" width="34.5" customWidth="1"/>
    <col min="10" max="10" width="13.5" customWidth="1"/>
  </cols>
  <sheetData>
    <row r="1" spans="1:5" s="13" customFormat="1">
      <c r="A1" s="116">
        <v>2005</v>
      </c>
      <c r="B1" s="39">
        <v>38628</v>
      </c>
      <c r="C1" s="39">
        <v>38991</v>
      </c>
      <c r="D1" s="30"/>
      <c r="E1" s="30"/>
    </row>
    <row r="2" spans="1:5" s="13" customFormat="1">
      <c r="A2" s="12"/>
      <c r="B2" s="12"/>
      <c r="C2" s="12"/>
    </row>
    <row r="3" spans="1:5" s="13" customFormat="1">
      <c r="A3" s="12"/>
      <c r="B3" s="14" t="s">
        <v>24</v>
      </c>
      <c r="C3" s="15"/>
    </row>
    <row r="4" spans="1:5" s="13" customFormat="1">
      <c r="A4" s="12"/>
      <c r="B4" s="16" t="s">
        <v>25</v>
      </c>
      <c r="C4" s="15">
        <f>D22</f>
        <v>2</v>
      </c>
    </row>
    <row r="5" spans="1:5" s="13" customFormat="1" ht="25">
      <c r="A5" s="12"/>
      <c r="B5" s="16" t="s">
        <v>26</v>
      </c>
      <c r="C5" s="15">
        <f>D22</f>
        <v>2</v>
      </c>
    </row>
    <row r="6" spans="1:5" s="13" customFormat="1" ht="25">
      <c r="A6" s="12"/>
      <c r="B6" s="16" t="s">
        <v>27</v>
      </c>
      <c r="C6" s="15">
        <v>0</v>
      </c>
    </row>
    <row r="7" spans="1:5" s="13" customFormat="1">
      <c r="A7" s="12"/>
      <c r="B7" s="16" t="s">
        <v>28</v>
      </c>
      <c r="C7" s="15">
        <v>0</v>
      </c>
    </row>
    <row r="8" spans="1:5" s="13" customFormat="1">
      <c r="A8" s="12"/>
      <c r="B8" s="16" t="s">
        <v>29</v>
      </c>
      <c r="C8" s="15">
        <v>0</v>
      </c>
    </row>
    <row r="9" spans="1:5" s="13" customFormat="1">
      <c r="A9" s="12"/>
      <c r="B9" s="16" t="s">
        <v>30</v>
      </c>
      <c r="C9" s="15">
        <v>0</v>
      </c>
    </row>
    <row r="10" spans="1:5" s="13" customFormat="1">
      <c r="A10" s="12"/>
      <c r="B10" s="16" t="s">
        <v>14</v>
      </c>
      <c r="C10" s="15">
        <v>0</v>
      </c>
    </row>
    <row r="11" spans="1:5" s="13" customFormat="1">
      <c r="A11" s="12"/>
      <c r="B11" s="16" t="s">
        <v>15</v>
      </c>
      <c r="C11" s="15">
        <v>0</v>
      </c>
    </row>
    <row r="12" spans="1:5" s="13" customFormat="1" ht="25">
      <c r="A12" s="12"/>
      <c r="B12" s="16" t="s">
        <v>31</v>
      </c>
      <c r="C12" s="15">
        <f>D61</f>
        <v>37</v>
      </c>
    </row>
    <row r="13" spans="1:5" s="13" customFormat="1" ht="25">
      <c r="A13" s="12"/>
      <c r="B13" s="16" t="s">
        <v>32</v>
      </c>
      <c r="C13" s="15">
        <v>0</v>
      </c>
    </row>
    <row r="14" spans="1:5" s="13" customFormat="1" ht="25">
      <c r="A14" s="12"/>
      <c r="B14" s="16" t="s">
        <v>33</v>
      </c>
      <c r="C14" s="15">
        <f>D92</f>
        <v>29</v>
      </c>
    </row>
    <row r="15" spans="1:5" s="13" customFormat="1">
      <c r="A15" s="12"/>
      <c r="B15" s="16" t="s">
        <v>4</v>
      </c>
      <c r="C15" s="17">
        <f>C4+C6+C7+C8+C9+C10+C11</f>
        <v>2</v>
      </c>
    </row>
    <row r="16" spans="1:5" s="13" customFormat="1" ht="25">
      <c r="A16" s="12"/>
      <c r="B16" s="16" t="s">
        <v>34</v>
      </c>
      <c r="C16" s="128" t="s">
        <v>6192</v>
      </c>
    </row>
    <row r="19" spans="1:10" ht="42">
      <c r="A19" s="78" t="s">
        <v>35</v>
      </c>
      <c r="B19" s="79" t="s">
        <v>36</v>
      </c>
      <c r="C19" s="79" t="s">
        <v>37</v>
      </c>
      <c r="D19" s="80" t="s">
        <v>38</v>
      </c>
      <c r="E19" s="80" t="s">
        <v>39</v>
      </c>
      <c r="F19" s="80" t="s">
        <v>40</v>
      </c>
      <c r="G19" s="80" t="s">
        <v>41</v>
      </c>
      <c r="H19" s="80" t="s">
        <v>42</v>
      </c>
      <c r="I19" s="80" t="s">
        <v>1466</v>
      </c>
      <c r="J19" s="81" t="s">
        <v>4595</v>
      </c>
    </row>
    <row r="20" spans="1:10" ht="42">
      <c r="A20" s="97">
        <v>202</v>
      </c>
      <c r="B20" s="83" t="s">
        <v>5098</v>
      </c>
      <c r="C20" s="84" t="s">
        <v>5099</v>
      </c>
      <c r="D20" s="86" t="s">
        <v>47</v>
      </c>
      <c r="E20" s="86" t="s">
        <v>48</v>
      </c>
      <c r="F20" s="86" t="s">
        <v>49</v>
      </c>
      <c r="G20" s="86"/>
      <c r="H20" s="86"/>
      <c r="I20" s="86"/>
      <c r="J20" s="98"/>
    </row>
    <row r="21" spans="1:10" ht="28">
      <c r="A21" s="97">
        <v>208</v>
      </c>
      <c r="B21" s="83" t="s">
        <v>5110</v>
      </c>
      <c r="C21" s="84" t="s">
        <v>5111</v>
      </c>
      <c r="D21" s="86" t="s">
        <v>47</v>
      </c>
      <c r="E21" s="86" t="s">
        <v>48</v>
      </c>
      <c r="F21" s="86" t="s">
        <v>49</v>
      </c>
      <c r="G21" s="86"/>
      <c r="H21" s="86"/>
      <c r="I21" s="86"/>
      <c r="J21" s="98"/>
    </row>
    <row r="22" spans="1:10">
      <c r="A22" s="97"/>
      <c r="B22" s="83"/>
      <c r="C22" s="120" t="s">
        <v>6191</v>
      </c>
      <c r="D22" s="121">
        <f>COUNTA(D20:D21)</f>
        <v>2</v>
      </c>
      <c r="E22" s="86"/>
      <c r="F22" s="86"/>
      <c r="G22" s="86"/>
      <c r="H22" s="86"/>
      <c r="I22" s="86"/>
      <c r="J22" s="98"/>
    </row>
    <row r="23" spans="1:10">
      <c r="A23" s="97"/>
      <c r="B23" s="83"/>
      <c r="C23" s="84"/>
      <c r="D23" s="86"/>
      <c r="E23" s="86"/>
      <c r="F23" s="86"/>
      <c r="G23" s="86"/>
      <c r="H23" s="86"/>
      <c r="I23" s="86"/>
      <c r="J23" s="98"/>
    </row>
    <row r="24" spans="1:10" ht="28">
      <c r="A24" s="97">
        <v>228</v>
      </c>
      <c r="B24" s="83" t="s">
        <v>5147</v>
      </c>
      <c r="C24" s="84" t="s">
        <v>5148</v>
      </c>
      <c r="D24" s="86" t="s">
        <v>111</v>
      </c>
      <c r="E24" s="86"/>
      <c r="F24" s="86" t="s">
        <v>78</v>
      </c>
      <c r="G24" s="86" t="s">
        <v>167</v>
      </c>
      <c r="H24" s="86" t="s">
        <v>111</v>
      </c>
      <c r="I24" s="86" t="s">
        <v>78</v>
      </c>
      <c r="J24" s="98"/>
    </row>
    <row r="25" spans="1:10" ht="56">
      <c r="A25" s="97">
        <v>197</v>
      </c>
      <c r="B25" s="83" t="s">
        <v>5088</v>
      </c>
      <c r="C25" s="84" t="s">
        <v>5089</v>
      </c>
      <c r="D25" s="86" t="s">
        <v>111</v>
      </c>
      <c r="E25" s="86"/>
      <c r="F25" s="86" t="s">
        <v>49</v>
      </c>
      <c r="G25" s="86"/>
      <c r="H25" s="86"/>
      <c r="I25" s="86"/>
      <c r="J25" s="98"/>
    </row>
    <row r="26" spans="1:10" ht="56">
      <c r="A26" s="97">
        <v>198</v>
      </c>
      <c r="B26" s="83" t="s">
        <v>5090</v>
      </c>
      <c r="C26" s="84" t="s">
        <v>5091</v>
      </c>
      <c r="D26" s="86" t="s">
        <v>111</v>
      </c>
      <c r="E26" s="86"/>
      <c r="F26" s="86" t="s">
        <v>49</v>
      </c>
      <c r="G26" s="86"/>
      <c r="H26" s="86"/>
      <c r="I26" s="86"/>
      <c r="J26" s="98"/>
    </row>
    <row r="27" spans="1:10" ht="28">
      <c r="A27" s="97">
        <v>199</v>
      </c>
      <c r="B27" s="83" t="s">
        <v>5092</v>
      </c>
      <c r="C27" s="84" t="s">
        <v>5093</v>
      </c>
      <c r="D27" s="86" t="s">
        <v>111</v>
      </c>
      <c r="E27" s="117"/>
      <c r="F27" s="117" t="s">
        <v>49</v>
      </c>
      <c r="G27" s="86"/>
      <c r="H27" s="86"/>
      <c r="I27" s="86"/>
      <c r="J27" s="98"/>
    </row>
    <row r="28" spans="1:10" ht="28">
      <c r="A28" s="97">
        <v>200</v>
      </c>
      <c r="B28" s="83" t="s">
        <v>5094</v>
      </c>
      <c r="C28" s="84" t="s">
        <v>5095</v>
      </c>
      <c r="D28" s="86" t="s">
        <v>111</v>
      </c>
      <c r="E28" s="117" t="s">
        <v>4626</v>
      </c>
      <c r="F28" s="117" t="s">
        <v>49</v>
      </c>
      <c r="G28" s="86"/>
      <c r="H28" s="86"/>
      <c r="I28" s="86"/>
      <c r="J28" s="98"/>
    </row>
    <row r="29" spans="1:10" ht="28">
      <c r="A29" s="97">
        <v>201</v>
      </c>
      <c r="B29" s="83" t="s">
        <v>5096</v>
      </c>
      <c r="C29" s="84" t="s">
        <v>5097</v>
      </c>
      <c r="D29" s="86" t="s">
        <v>111</v>
      </c>
      <c r="E29" s="117" t="s">
        <v>4626</v>
      </c>
      <c r="F29" s="117" t="s">
        <v>49</v>
      </c>
      <c r="G29" s="86"/>
      <c r="H29" s="86"/>
      <c r="I29" s="86"/>
      <c r="J29" s="98"/>
    </row>
    <row r="30" spans="1:10" ht="28">
      <c r="A30" s="97">
        <v>203</v>
      </c>
      <c r="B30" s="83" t="s">
        <v>5100</v>
      </c>
      <c r="C30" s="84" t="s">
        <v>5101</v>
      </c>
      <c r="D30" s="87" t="s">
        <v>111</v>
      </c>
      <c r="E30" s="88"/>
      <c r="F30" s="88" t="s">
        <v>49</v>
      </c>
      <c r="G30" s="86"/>
      <c r="H30" s="86"/>
      <c r="I30" s="86"/>
      <c r="J30" s="98"/>
    </row>
    <row r="31" spans="1:10" ht="28">
      <c r="A31" s="97">
        <v>204</v>
      </c>
      <c r="B31" s="83" t="s">
        <v>5102</v>
      </c>
      <c r="C31" s="84" t="s">
        <v>5103</v>
      </c>
      <c r="D31" s="87" t="s">
        <v>111</v>
      </c>
      <c r="E31" s="88"/>
      <c r="F31" s="88" t="s">
        <v>49</v>
      </c>
      <c r="G31" s="86"/>
      <c r="H31" s="86"/>
      <c r="I31" s="86"/>
      <c r="J31" s="98"/>
    </row>
    <row r="32" spans="1:10" ht="28">
      <c r="A32" s="97">
        <v>205</v>
      </c>
      <c r="B32" s="83" t="s">
        <v>5104</v>
      </c>
      <c r="C32" s="84" t="s">
        <v>5105</v>
      </c>
      <c r="D32" s="87" t="s">
        <v>111</v>
      </c>
      <c r="E32" s="87"/>
      <c r="F32" s="87" t="s">
        <v>49</v>
      </c>
      <c r="G32" s="86"/>
      <c r="H32" s="86"/>
      <c r="I32" s="86"/>
      <c r="J32" s="98"/>
    </row>
    <row r="33" spans="1:10" ht="56">
      <c r="A33" s="97">
        <v>206</v>
      </c>
      <c r="B33" s="83" t="s">
        <v>5106</v>
      </c>
      <c r="C33" s="84" t="s">
        <v>5107</v>
      </c>
      <c r="D33" s="87" t="s">
        <v>111</v>
      </c>
      <c r="E33" s="88"/>
      <c r="F33" s="88" t="s">
        <v>49</v>
      </c>
      <c r="G33" s="86"/>
      <c r="H33" s="86"/>
      <c r="I33" s="86"/>
      <c r="J33" s="98"/>
    </row>
    <row r="34" spans="1:10" ht="42">
      <c r="A34" s="97">
        <v>207</v>
      </c>
      <c r="B34" s="83" t="s">
        <v>5108</v>
      </c>
      <c r="C34" s="84" t="s">
        <v>5109</v>
      </c>
      <c r="D34" s="87" t="s">
        <v>111</v>
      </c>
      <c r="E34" s="87"/>
      <c r="F34" s="87" t="s">
        <v>49</v>
      </c>
      <c r="G34" s="86"/>
      <c r="H34" s="86"/>
      <c r="I34" s="86"/>
      <c r="J34" s="98"/>
    </row>
    <row r="35" spans="1:10" ht="28">
      <c r="A35" s="97">
        <v>209</v>
      </c>
      <c r="B35" s="83" t="s">
        <v>5112</v>
      </c>
      <c r="C35" s="84" t="s">
        <v>5113</v>
      </c>
      <c r="D35" s="87" t="s">
        <v>111</v>
      </c>
      <c r="E35" s="88"/>
      <c r="F35" s="88" t="s">
        <v>49</v>
      </c>
      <c r="G35" s="86"/>
      <c r="H35" s="86"/>
      <c r="I35" s="86"/>
      <c r="J35" s="98"/>
    </row>
    <row r="36" spans="1:10" ht="42">
      <c r="A36" s="97">
        <v>211</v>
      </c>
      <c r="B36" s="83" t="s">
        <v>5116</v>
      </c>
      <c r="C36" s="84" t="s">
        <v>5117</v>
      </c>
      <c r="D36" s="87" t="s">
        <v>111</v>
      </c>
      <c r="E36" s="88"/>
      <c r="F36" s="88" t="s">
        <v>49</v>
      </c>
      <c r="G36" s="86"/>
      <c r="H36" s="86"/>
      <c r="I36" s="86"/>
      <c r="J36" s="98"/>
    </row>
    <row r="37" spans="1:10" ht="28">
      <c r="A37" s="97">
        <v>212</v>
      </c>
      <c r="B37" s="83" t="s">
        <v>5118</v>
      </c>
      <c r="C37" s="84" t="s">
        <v>5119</v>
      </c>
      <c r="D37" s="87" t="s">
        <v>111</v>
      </c>
      <c r="E37" s="88"/>
      <c r="F37" s="88" t="s">
        <v>49</v>
      </c>
      <c r="G37" s="86"/>
      <c r="H37" s="86"/>
      <c r="I37" s="86"/>
      <c r="J37" s="98"/>
    </row>
    <row r="38" spans="1:10" ht="28">
      <c r="A38" s="97">
        <v>213</v>
      </c>
      <c r="B38" s="83" t="s">
        <v>5120</v>
      </c>
      <c r="C38" s="84" t="s">
        <v>5121</v>
      </c>
      <c r="D38" s="87" t="s">
        <v>111</v>
      </c>
      <c r="E38" s="87" t="s">
        <v>4626</v>
      </c>
      <c r="F38" s="87" t="s">
        <v>49</v>
      </c>
      <c r="G38" s="86"/>
      <c r="H38" s="86"/>
      <c r="I38" s="86"/>
      <c r="J38" s="98"/>
    </row>
    <row r="39" spans="1:10" ht="42">
      <c r="A39" s="97">
        <v>217</v>
      </c>
      <c r="B39" s="83" t="s">
        <v>5128</v>
      </c>
      <c r="C39" s="84" t="s">
        <v>5129</v>
      </c>
      <c r="D39" s="86" t="s">
        <v>111</v>
      </c>
      <c r="E39" s="86"/>
      <c r="F39" s="86" t="s">
        <v>49</v>
      </c>
      <c r="G39" s="86"/>
      <c r="H39" s="86"/>
      <c r="I39" s="86"/>
      <c r="J39" s="98"/>
    </row>
    <row r="40" spans="1:10" ht="28">
      <c r="A40" s="97">
        <v>221</v>
      </c>
      <c r="B40" s="83" t="s">
        <v>5134</v>
      </c>
      <c r="C40" s="84" t="s">
        <v>5135</v>
      </c>
      <c r="D40" s="86" t="s">
        <v>111</v>
      </c>
      <c r="E40" s="86" t="s">
        <v>4626</v>
      </c>
      <c r="F40" s="86" t="s">
        <v>49</v>
      </c>
      <c r="G40" s="86"/>
      <c r="H40" s="86"/>
      <c r="I40" s="86"/>
      <c r="J40" s="98"/>
    </row>
    <row r="41" spans="1:10" ht="28">
      <c r="A41" s="97">
        <v>224</v>
      </c>
      <c r="B41" s="83" t="s">
        <v>5139</v>
      </c>
      <c r="C41" s="84" t="s">
        <v>5140</v>
      </c>
      <c r="D41" s="86" t="s">
        <v>111</v>
      </c>
      <c r="E41" s="86" t="s">
        <v>4626</v>
      </c>
      <c r="F41" s="86" t="s">
        <v>49</v>
      </c>
      <c r="G41" s="86"/>
      <c r="H41" s="86"/>
      <c r="I41" s="86"/>
      <c r="J41" s="98"/>
    </row>
    <row r="42" spans="1:10" ht="28">
      <c r="A42" s="97">
        <v>225</v>
      </c>
      <c r="B42" s="83" t="s">
        <v>5141</v>
      </c>
      <c r="C42" s="84" t="s">
        <v>5142</v>
      </c>
      <c r="D42" s="86" t="s">
        <v>111</v>
      </c>
      <c r="E42" s="86"/>
      <c r="F42" s="117" t="s">
        <v>49</v>
      </c>
      <c r="G42" s="86"/>
      <c r="H42" s="86"/>
      <c r="I42" s="86"/>
      <c r="J42" s="98"/>
    </row>
    <row r="43" spans="1:10" ht="28">
      <c r="A43" s="97">
        <v>226</v>
      </c>
      <c r="B43" s="83" t="s">
        <v>5143</v>
      </c>
      <c r="C43" s="84" t="s">
        <v>5144</v>
      </c>
      <c r="D43" s="87" t="s">
        <v>111</v>
      </c>
      <c r="E43" s="87" t="s">
        <v>4626</v>
      </c>
      <c r="F43" s="88" t="s">
        <v>49</v>
      </c>
      <c r="G43" s="86"/>
      <c r="H43" s="86"/>
      <c r="I43" s="86"/>
      <c r="J43" s="98"/>
    </row>
    <row r="44" spans="1:10" ht="28">
      <c r="A44" s="97">
        <v>231</v>
      </c>
      <c r="B44" s="83" t="s">
        <v>5153</v>
      </c>
      <c r="C44" s="84" t="s">
        <v>5154</v>
      </c>
      <c r="D44" s="87" t="s">
        <v>111</v>
      </c>
      <c r="E44" s="87" t="s">
        <v>4626</v>
      </c>
      <c r="F44" s="87" t="s">
        <v>49</v>
      </c>
      <c r="G44" s="86"/>
      <c r="H44" s="86"/>
      <c r="I44" s="86"/>
      <c r="J44" s="98"/>
    </row>
    <row r="45" spans="1:10" ht="28">
      <c r="A45" s="97">
        <v>233</v>
      </c>
      <c r="B45" s="83" t="s">
        <v>5157</v>
      </c>
      <c r="C45" s="84" t="s">
        <v>5158</v>
      </c>
      <c r="D45" s="87" t="s">
        <v>111</v>
      </c>
      <c r="E45" s="87" t="s">
        <v>4626</v>
      </c>
      <c r="F45" s="87" t="s">
        <v>49</v>
      </c>
      <c r="G45" s="86"/>
      <c r="H45" s="86"/>
      <c r="I45" s="86"/>
      <c r="J45" s="98"/>
    </row>
    <row r="46" spans="1:10" ht="28">
      <c r="A46" s="97">
        <v>238</v>
      </c>
      <c r="B46" s="83" t="s">
        <v>5167</v>
      </c>
      <c r="C46" s="84" t="s">
        <v>5168</v>
      </c>
      <c r="D46" s="87" t="s">
        <v>111</v>
      </c>
      <c r="E46" s="87" t="s">
        <v>4626</v>
      </c>
      <c r="F46" s="87" t="s">
        <v>49</v>
      </c>
      <c r="G46" s="86"/>
      <c r="H46" s="86"/>
      <c r="I46" s="86"/>
      <c r="J46" s="98"/>
    </row>
    <row r="47" spans="1:10" ht="28">
      <c r="A47" s="97">
        <v>241</v>
      </c>
      <c r="B47" s="83" t="s">
        <v>5173</v>
      </c>
      <c r="C47" s="84" t="s">
        <v>5174</v>
      </c>
      <c r="D47" s="87" t="s">
        <v>111</v>
      </c>
      <c r="E47" s="87" t="s">
        <v>4626</v>
      </c>
      <c r="F47" s="87" t="s">
        <v>49</v>
      </c>
      <c r="G47" s="86"/>
      <c r="H47" s="86"/>
      <c r="I47" s="86"/>
      <c r="J47" s="98"/>
    </row>
    <row r="48" spans="1:10" ht="42">
      <c r="A48" s="97">
        <v>242</v>
      </c>
      <c r="B48" s="83" t="s">
        <v>5175</v>
      </c>
      <c r="C48" s="84" t="s">
        <v>5176</v>
      </c>
      <c r="D48" s="87" t="s">
        <v>111</v>
      </c>
      <c r="E48" s="87"/>
      <c r="F48" s="87" t="s">
        <v>49</v>
      </c>
      <c r="G48" s="86"/>
      <c r="H48" s="86"/>
      <c r="I48" s="86"/>
      <c r="J48" s="98"/>
    </row>
    <row r="49" spans="1:10" ht="28">
      <c r="A49" s="97">
        <v>248</v>
      </c>
      <c r="B49" s="83" t="s">
        <v>5187</v>
      </c>
      <c r="C49" s="84" t="s">
        <v>5188</v>
      </c>
      <c r="D49" s="87" t="s">
        <v>111</v>
      </c>
      <c r="E49" s="87" t="s">
        <v>4626</v>
      </c>
      <c r="F49" s="87" t="s">
        <v>49</v>
      </c>
      <c r="G49" s="86"/>
      <c r="H49" s="86"/>
      <c r="I49" s="86"/>
      <c r="J49" s="98"/>
    </row>
    <row r="50" spans="1:10" ht="42">
      <c r="A50" s="97">
        <v>252</v>
      </c>
      <c r="B50" s="83" t="s">
        <v>5195</v>
      </c>
      <c r="C50" s="84" t="s">
        <v>5196</v>
      </c>
      <c r="D50" s="87" t="s">
        <v>111</v>
      </c>
      <c r="E50" s="88" t="s">
        <v>4626</v>
      </c>
      <c r="F50" s="88" t="s">
        <v>49</v>
      </c>
      <c r="G50" s="86"/>
      <c r="H50" s="86"/>
      <c r="I50" s="86"/>
      <c r="J50" s="98"/>
    </row>
    <row r="51" spans="1:10" ht="28">
      <c r="A51" s="97">
        <v>256</v>
      </c>
      <c r="B51" s="83" t="s">
        <v>481</v>
      </c>
      <c r="C51" s="84" t="s">
        <v>5202</v>
      </c>
      <c r="D51" s="87" t="s">
        <v>111</v>
      </c>
      <c r="E51" s="87" t="s">
        <v>4626</v>
      </c>
      <c r="F51" s="87" t="s">
        <v>49</v>
      </c>
      <c r="G51" s="86"/>
      <c r="H51" s="86"/>
      <c r="I51" s="86"/>
      <c r="J51" s="98"/>
    </row>
    <row r="52" spans="1:10" ht="28">
      <c r="A52" s="97">
        <v>167</v>
      </c>
      <c r="B52" s="83" t="s">
        <v>5232</v>
      </c>
      <c r="C52" s="84" t="s">
        <v>5231</v>
      </c>
      <c r="D52" s="86" t="s">
        <v>111</v>
      </c>
      <c r="E52" s="86"/>
      <c r="F52" s="86" t="s">
        <v>49</v>
      </c>
      <c r="G52" s="86"/>
      <c r="H52" s="86"/>
      <c r="I52" s="86"/>
      <c r="J52" s="98"/>
    </row>
    <row r="53" spans="1:10" ht="42">
      <c r="A53" s="97">
        <v>169</v>
      </c>
      <c r="B53" s="83" t="s">
        <v>5161</v>
      </c>
      <c r="C53" s="84" t="s">
        <v>5230</v>
      </c>
      <c r="D53" s="86" t="s">
        <v>111</v>
      </c>
      <c r="E53" s="86" t="s">
        <v>4626</v>
      </c>
      <c r="F53" s="86" t="s">
        <v>49</v>
      </c>
      <c r="G53" s="86"/>
      <c r="H53" s="86"/>
      <c r="I53" s="86"/>
      <c r="J53" s="98"/>
    </row>
    <row r="54" spans="1:10" ht="42">
      <c r="A54" s="97">
        <v>186</v>
      </c>
      <c r="B54" s="83" t="s">
        <v>5229</v>
      </c>
      <c r="C54" s="84" t="s">
        <v>5228</v>
      </c>
      <c r="D54" s="86" t="s">
        <v>111</v>
      </c>
      <c r="E54" s="86"/>
      <c r="F54" s="86" t="s">
        <v>49</v>
      </c>
      <c r="G54" s="86"/>
      <c r="H54" s="86"/>
      <c r="I54" s="86"/>
      <c r="J54" s="98"/>
    </row>
    <row r="55" spans="1:10" ht="42">
      <c r="A55" s="97">
        <v>190</v>
      </c>
      <c r="B55" s="83" t="s">
        <v>2353</v>
      </c>
      <c r="C55" s="84" t="s">
        <v>5227</v>
      </c>
      <c r="D55" s="86" t="s">
        <v>111</v>
      </c>
      <c r="E55" s="117"/>
      <c r="F55" s="117" t="s">
        <v>49</v>
      </c>
      <c r="G55" s="86"/>
      <c r="H55" s="86"/>
      <c r="I55" s="86"/>
      <c r="J55" s="98"/>
    </row>
    <row r="56" spans="1:10" ht="42">
      <c r="A56" s="97">
        <v>191</v>
      </c>
      <c r="B56" s="83" t="s">
        <v>5226</v>
      </c>
      <c r="C56" s="84" t="s">
        <v>5225</v>
      </c>
      <c r="D56" s="86" t="s">
        <v>111</v>
      </c>
      <c r="E56" s="86"/>
      <c r="F56" s="86" t="s">
        <v>49</v>
      </c>
      <c r="G56" s="86"/>
      <c r="H56" s="86"/>
      <c r="I56" s="86"/>
      <c r="J56" s="98"/>
    </row>
    <row r="57" spans="1:10" ht="28">
      <c r="A57" s="97">
        <v>192</v>
      </c>
      <c r="B57" s="83" t="s">
        <v>5224</v>
      </c>
      <c r="C57" s="84" t="s">
        <v>5223</v>
      </c>
      <c r="D57" s="86" t="s">
        <v>111</v>
      </c>
      <c r="E57" s="117"/>
      <c r="F57" s="117" t="s">
        <v>49</v>
      </c>
      <c r="G57" s="86"/>
      <c r="H57" s="86"/>
      <c r="I57" s="86"/>
      <c r="J57" s="98"/>
    </row>
    <row r="58" spans="1:10" ht="56">
      <c r="A58" s="97">
        <v>194</v>
      </c>
      <c r="B58" s="83" t="s">
        <v>5222</v>
      </c>
      <c r="C58" s="84" t="s">
        <v>5221</v>
      </c>
      <c r="D58" s="86" t="s">
        <v>111</v>
      </c>
      <c r="E58" s="86"/>
      <c r="F58" s="86" t="s">
        <v>49</v>
      </c>
      <c r="G58" s="86"/>
      <c r="H58" s="86"/>
      <c r="I58" s="86"/>
      <c r="J58" s="98"/>
    </row>
    <row r="59" spans="1:10" ht="28">
      <c r="A59" s="97">
        <v>195</v>
      </c>
      <c r="B59" s="83" t="s">
        <v>5220</v>
      </c>
      <c r="C59" s="84" t="s">
        <v>5219</v>
      </c>
      <c r="D59" s="86" t="s">
        <v>111</v>
      </c>
      <c r="E59" s="86"/>
      <c r="F59" s="86" t="s">
        <v>49</v>
      </c>
      <c r="G59" s="86"/>
      <c r="H59" s="86"/>
      <c r="I59" s="86"/>
      <c r="J59" s="98"/>
    </row>
    <row r="60" spans="1:10" ht="28">
      <c r="A60" s="97">
        <v>196</v>
      </c>
      <c r="B60" s="83" t="s">
        <v>5218</v>
      </c>
      <c r="C60" s="84" t="s">
        <v>5217</v>
      </c>
      <c r="D60" s="86" t="s">
        <v>111</v>
      </c>
      <c r="E60" s="86"/>
      <c r="F60" s="86" t="s">
        <v>49</v>
      </c>
      <c r="G60" s="86"/>
      <c r="H60" s="86"/>
      <c r="I60" s="86"/>
      <c r="J60" s="98"/>
    </row>
    <row r="61" spans="1:10">
      <c r="A61" s="97"/>
      <c r="B61" s="83"/>
      <c r="C61" s="120" t="s">
        <v>6191</v>
      </c>
      <c r="D61" s="121">
        <f>COUNTA(D24:D60)</f>
        <v>37</v>
      </c>
      <c r="E61" s="86"/>
      <c r="F61" s="86"/>
      <c r="G61" s="86"/>
      <c r="H61" s="86"/>
      <c r="I61" s="86"/>
      <c r="J61" s="98"/>
    </row>
    <row r="62" spans="1:10">
      <c r="A62" s="97"/>
      <c r="B62" s="83"/>
      <c r="C62" s="84"/>
      <c r="D62" s="86"/>
      <c r="E62" s="86"/>
      <c r="F62" s="86"/>
      <c r="G62" s="86"/>
      <c r="H62" s="86"/>
      <c r="I62" s="86"/>
      <c r="J62" s="98"/>
    </row>
    <row r="63" spans="1:10" ht="28">
      <c r="A63" s="97">
        <v>210</v>
      </c>
      <c r="B63" s="83" t="s">
        <v>5114</v>
      </c>
      <c r="C63" s="84" t="s">
        <v>5115</v>
      </c>
      <c r="D63" s="86" t="s">
        <v>279</v>
      </c>
      <c r="E63" s="86"/>
      <c r="F63" s="86" t="s">
        <v>49</v>
      </c>
      <c r="G63" s="86"/>
      <c r="H63" s="86"/>
      <c r="I63" s="86"/>
      <c r="J63" s="98"/>
    </row>
    <row r="64" spans="1:10" ht="28">
      <c r="A64" s="97">
        <v>214</v>
      </c>
      <c r="B64" s="83" t="s">
        <v>5122</v>
      </c>
      <c r="C64" s="84" t="s">
        <v>5123</v>
      </c>
      <c r="D64" s="86" t="s">
        <v>279</v>
      </c>
      <c r="E64" s="117"/>
      <c r="F64" s="117" t="s">
        <v>49</v>
      </c>
      <c r="G64" s="86"/>
      <c r="H64" s="86"/>
      <c r="I64" s="86"/>
      <c r="J64" s="98"/>
    </row>
    <row r="65" spans="1:10" ht="28">
      <c r="A65" s="97">
        <v>215</v>
      </c>
      <c r="B65" s="83" t="s">
        <v>5124</v>
      </c>
      <c r="C65" s="84" t="s">
        <v>5125</v>
      </c>
      <c r="D65" s="86" t="s">
        <v>279</v>
      </c>
      <c r="E65" s="86"/>
      <c r="F65" s="86" t="s">
        <v>49</v>
      </c>
      <c r="G65" s="86"/>
      <c r="H65" s="86"/>
      <c r="I65" s="86"/>
      <c r="J65" s="98"/>
    </row>
    <row r="66" spans="1:10" ht="28">
      <c r="A66" s="97">
        <v>216</v>
      </c>
      <c r="B66" s="83" t="s">
        <v>5126</v>
      </c>
      <c r="C66" s="84" t="s">
        <v>5127</v>
      </c>
      <c r="D66" s="86" t="s">
        <v>279</v>
      </c>
      <c r="E66" s="86"/>
      <c r="F66" s="86" t="s">
        <v>49</v>
      </c>
      <c r="G66" s="86"/>
      <c r="H66" s="86"/>
      <c r="I66" s="86"/>
      <c r="J66" s="98"/>
    </row>
    <row r="67" spans="1:10" ht="28">
      <c r="A67" s="97">
        <v>218</v>
      </c>
      <c r="B67" s="83" t="s">
        <v>5130</v>
      </c>
      <c r="C67" s="84" t="s">
        <v>5131</v>
      </c>
      <c r="D67" s="87" t="s">
        <v>279</v>
      </c>
      <c r="E67" s="117"/>
      <c r="F67" s="88" t="s">
        <v>49</v>
      </c>
      <c r="G67" s="86"/>
      <c r="H67" s="86"/>
      <c r="I67" s="86"/>
      <c r="J67" s="98"/>
    </row>
    <row r="68" spans="1:10" ht="28">
      <c r="A68" s="97">
        <v>219</v>
      </c>
      <c r="B68" s="83" t="s">
        <v>5132</v>
      </c>
      <c r="C68" s="84" t="s">
        <v>5133</v>
      </c>
      <c r="D68" s="87" t="s">
        <v>279</v>
      </c>
      <c r="E68" s="117"/>
      <c r="F68" s="88" t="s">
        <v>49</v>
      </c>
      <c r="G68" s="86"/>
      <c r="H68" s="86"/>
      <c r="I68" s="86"/>
      <c r="J68" s="98"/>
    </row>
    <row r="69" spans="1:10" ht="28">
      <c r="A69" s="97">
        <v>222</v>
      </c>
      <c r="B69" s="83" t="s">
        <v>5136</v>
      </c>
      <c r="C69" s="84" t="s">
        <v>5137</v>
      </c>
      <c r="D69" s="86" t="s">
        <v>279</v>
      </c>
      <c r="E69" s="86"/>
      <c r="F69" s="86" t="s">
        <v>49</v>
      </c>
      <c r="G69" s="86"/>
      <c r="H69" s="86"/>
      <c r="I69" s="86"/>
      <c r="J69" s="98"/>
    </row>
    <row r="70" spans="1:10" ht="28">
      <c r="A70" s="97">
        <v>223</v>
      </c>
      <c r="B70" s="83" t="s">
        <v>4914</v>
      </c>
      <c r="C70" s="84" t="s">
        <v>5138</v>
      </c>
      <c r="D70" s="86" t="s">
        <v>279</v>
      </c>
      <c r="E70" s="86"/>
      <c r="F70" s="86" t="s">
        <v>49</v>
      </c>
      <c r="G70" s="86"/>
      <c r="H70" s="86"/>
      <c r="I70" s="86"/>
      <c r="J70" s="98"/>
    </row>
    <row r="71" spans="1:10" ht="28">
      <c r="A71" s="97">
        <v>227</v>
      </c>
      <c r="B71" s="83" t="s">
        <v>5145</v>
      </c>
      <c r="C71" s="84" t="s">
        <v>5146</v>
      </c>
      <c r="D71" s="86" t="s">
        <v>279</v>
      </c>
      <c r="E71" s="86"/>
      <c r="F71" s="86" t="s">
        <v>49</v>
      </c>
      <c r="G71" s="86"/>
      <c r="H71" s="86"/>
      <c r="I71" s="86"/>
      <c r="J71" s="98"/>
    </row>
    <row r="72" spans="1:10" ht="28">
      <c r="A72" s="97">
        <v>229</v>
      </c>
      <c r="B72" s="83" t="s">
        <v>5149</v>
      </c>
      <c r="C72" s="84" t="s">
        <v>5150</v>
      </c>
      <c r="D72" s="86" t="s">
        <v>279</v>
      </c>
      <c r="E72" s="86"/>
      <c r="F72" s="86" t="s">
        <v>49</v>
      </c>
      <c r="G72" s="86"/>
      <c r="H72" s="86"/>
      <c r="I72" s="86"/>
      <c r="J72" s="98"/>
    </row>
    <row r="73" spans="1:10" ht="42">
      <c r="A73" s="97">
        <v>230</v>
      </c>
      <c r="B73" s="83" t="s">
        <v>5151</v>
      </c>
      <c r="C73" s="84" t="s">
        <v>5152</v>
      </c>
      <c r="D73" s="86" t="s">
        <v>279</v>
      </c>
      <c r="E73" s="86"/>
      <c r="F73" s="86" t="s">
        <v>49</v>
      </c>
      <c r="G73" s="86"/>
      <c r="H73" s="86"/>
      <c r="I73" s="86"/>
      <c r="J73" s="98"/>
    </row>
    <row r="74" spans="1:10" ht="28">
      <c r="A74" s="97">
        <v>232</v>
      </c>
      <c r="B74" s="83" t="s">
        <v>5155</v>
      </c>
      <c r="C74" s="84" t="s">
        <v>5156</v>
      </c>
      <c r="D74" s="86" t="s">
        <v>279</v>
      </c>
      <c r="E74" s="117"/>
      <c r="F74" s="117" t="s">
        <v>49</v>
      </c>
      <c r="G74" s="86"/>
      <c r="H74" s="86"/>
      <c r="I74" s="86"/>
      <c r="J74" s="98"/>
    </row>
    <row r="75" spans="1:10" ht="28">
      <c r="A75" s="97">
        <v>234</v>
      </c>
      <c r="B75" s="83" t="s">
        <v>5159</v>
      </c>
      <c r="C75" s="84" t="s">
        <v>5160</v>
      </c>
      <c r="D75" s="86" t="s">
        <v>279</v>
      </c>
      <c r="E75" s="86"/>
      <c r="F75" s="86" t="s">
        <v>49</v>
      </c>
      <c r="G75" s="86"/>
      <c r="H75" s="86"/>
      <c r="I75" s="86"/>
      <c r="J75" s="98"/>
    </row>
    <row r="76" spans="1:10" ht="42">
      <c r="A76" s="97">
        <v>235</v>
      </c>
      <c r="B76" s="83" t="s">
        <v>5161</v>
      </c>
      <c r="C76" s="84" t="s">
        <v>5162</v>
      </c>
      <c r="D76" s="86" t="s">
        <v>279</v>
      </c>
      <c r="E76" s="86"/>
      <c r="F76" s="86" t="s">
        <v>49</v>
      </c>
      <c r="G76" s="86"/>
      <c r="H76" s="86"/>
      <c r="I76" s="86"/>
      <c r="J76" s="98"/>
    </row>
    <row r="77" spans="1:10" ht="28">
      <c r="A77" s="97">
        <v>236</v>
      </c>
      <c r="B77" s="83" t="s">
        <v>5163</v>
      </c>
      <c r="C77" s="84" t="s">
        <v>5164</v>
      </c>
      <c r="D77" s="86" t="s">
        <v>279</v>
      </c>
      <c r="E77" s="86"/>
      <c r="F77" s="86" t="s">
        <v>49</v>
      </c>
      <c r="G77" s="86"/>
      <c r="H77" s="86"/>
      <c r="I77" s="86"/>
      <c r="J77" s="98"/>
    </row>
    <row r="78" spans="1:10" ht="28">
      <c r="A78" s="97">
        <v>237</v>
      </c>
      <c r="B78" s="83" t="s">
        <v>5165</v>
      </c>
      <c r="C78" s="84" t="s">
        <v>5166</v>
      </c>
      <c r="D78" s="86" t="s">
        <v>279</v>
      </c>
      <c r="E78" s="117"/>
      <c r="F78" s="117" t="s">
        <v>49</v>
      </c>
      <c r="G78" s="86"/>
      <c r="H78" s="86"/>
      <c r="I78" s="86"/>
      <c r="J78" s="98"/>
    </row>
    <row r="79" spans="1:10" ht="28">
      <c r="A79" s="97">
        <v>239</v>
      </c>
      <c r="B79" s="83" t="s">
        <v>5169</v>
      </c>
      <c r="C79" s="84" t="s">
        <v>5170</v>
      </c>
      <c r="D79" s="86" t="s">
        <v>279</v>
      </c>
      <c r="E79" s="86"/>
      <c r="F79" s="86" t="s">
        <v>49</v>
      </c>
      <c r="G79" s="86"/>
      <c r="H79" s="86"/>
      <c r="I79" s="86"/>
      <c r="J79" s="98"/>
    </row>
    <row r="80" spans="1:10" ht="28">
      <c r="A80" s="97">
        <v>243</v>
      </c>
      <c r="B80" s="83" t="s">
        <v>5177</v>
      </c>
      <c r="C80" s="84" t="s">
        <v>5178</v>
      </c>
      <c r="D80" s="86" t="s">
        <v>279</v>
      </c>
      <c r="E80" s="86"/>
      <c r="F80" s="86" t="s">
        <v>49</v>
      </c>
      <c r="G80" s="86"/>
      <c r="H80" s="86"/>
      <c r="I80" s="86"/>
      <c r="J80" s="98"/>
    </row>
    <row r="81" spans="1:10" ht="28">
      <c r="A81" s="97">
        <v>244</v>
      </c>
      <c r="B81" s="83" t="s">
        <v>5179</v>
      </c>
      <c r="C81" s="84" t="s">
        <v>5180</v>
      </c>
      <c r="D81" s="86" t="s">
        <v>279</v>
      </c>
      <c r="E81" s="86"/>
      <c r="F81" s="86" t="s">
        <v>49</v>
      </c>
      <c r="G81" s="86"/>
      <c r="H81" s="86"/>
      <c r="I81" s="86"/>
      <c r="J81" s="98"/>
    </row>
    <row r="82" spans="1:10" ht="28">
      <c r="A82" s="97">
        <v>245</v>
      </c>
      <c r="B82" s="83" t="s">
        <v>5181</v>
      </c>
      <c r="C82" s="84" t="s">
        <v>5182</v>
      </c>
      <c r="D82" s="86" t="s">
        <v>279</v>
      </c>
      <c r="E82" s="117"/>
      <c r="F82" s="117" t="s">
        <v>49</v>
      </c>
      <c r="G82" s="86"/>
      <c r="H82" s="86"/>
      <c r="I82" s="86"/>
      <c r="J82" s="98"/>
    </row>
    <row r="83" spans="1:10" ht="28">
      <c r="A83" s="97">
        <v>246</v>
      </c>
      <c r="B83" s="83" t="s">
        <v>5183</v>
      </c>
      <c r="C83" s="84" t="s">
        <v>5184</v>
      </c>
      <c r="D83" s="86" t="s">
        <v>279</v>
      </c>
      <c r="E83" s="86"/>
      <c r="F83" s="125" t="s">
        <v>49</v>
      </c>
      <c r="G83" s="86"/>
      <c r="H83" s="86"/>
      <c r="I83" s="86"/>
      <c r="J83" s="98"/>
    </row>
    <row r="84" spans="1:10" ht="28">
      <c r="A84" s="97">
        <v>247</v>
      </c>
      <c r="B84" s="83" t="s">
        <v>5185</v>
      </c>
      <c r="C84" s="84" t="s">
        <v>5186</v>
      </c>
      <c r="D84" s="86" t="s">
        <v>279</v>
      </c>
      <c r="E84" s="86"/>
      <c r="F84" s="125" t="s">
        <v>49</v>
      </c>
      <c r="G84" s="86"/>
      <c r="H84" s="86"/>
      <c r="I84" s="86"/>
      <c r="J84" s="98"/>
    </row>
    <row r="85" spans="1:10" ht="28">
      <c r="A85" s="97">
        <v>249</v>
      </c>
      <c r="B85" s="83" t="s">
        <v>5189</v>
      </c>
      <c r="C85" s="84" t="s">
        <v>5190</v>
      </c>
      <c r="D85" s="86" t="s">
        <v>279</v>
      </c>
      <c r="E85" s="86"/>
      <c r="F85" s="125" t="s">
        <v>49</v>
      </c>
      <c r="G85" s="86"/>
      <c r="H85" s="86"/>
      <c r="I85" s="86"/>
      <c r="J85" s="98"/>
    </row>
    <row r="86" spans="1:10" ht="28">
      <c r="A86" s="97">
        <v>250</v>
      </c>
      <c r="B86" s="83" t="s">
        <v>5191</v>
      </c>
      <c r="C86" s="84" t="s">
        <v>5192</v>
      </c>
      <c r="D86" s="86" t="s">
        <v>279</v>
      </c>
      <c r="E86" s="86"/>
      <c r="F86" s="125" t="s">
        <v>49</v>
      </c>
      <c r="G86" s="86"/>
      <c r="H86" s="86"/>
      <c r="I86" s="86"/>
      <c r="J86" s="98"/>
    </row>
    <row r="87" spans="1:10" ht="28">
      <c r="A87" s="97">
        <v>251</v>
      </c>
      <c r="B87" s="83" t="s">
        <v>5193</v>
      </c>
      <c r="C87" s="84" t="s">
        <v>5194</v>
      </c>
      <c r="D87" s="86" t="s">
        <v>279</v>
      </c>
      <c r="E87" s="86"/>
      <c r="F87" s="125" t="s">
        <v>49</v>
      </c>
      <c r="G87" s="86"/>
      <c r="H87" s="86"/>
      <c r="I87" s="86"/>
      <c r="J87" s="98"/>
    </row>
    <row r="88" spans="1:10" ht="42">
      <c r="A88" s="97">
        <v>253</v>
      </c>
      <c r="B88" s="83" t="s">
        <v>5197</v>
      </c>
      <c r="C88" s="84" t="s">
        <v>5198</v>
      </c>
      <c r="D88" s="86" t="s">
        <v>279</v>
      </c>
      <c r="E88" s="86"/>
      <c r="F88" s="125" t="s">
        <v>49</v>
      </c>
      <c r="G88" s="86"/>
      <c r="H88" s="86"/>
      <c r="I88" s="86"/>
      <c r="J88" s="98"/>
    </row>
    <row r="89" spans="1:10" ht="42">
      <c r="A89" s="97">
        <v>254</v>
      </c>
      <c r="B89" s="83" t="s">
        <v>5199</v>
      </c>
      <c r="C89" s="84" t="s">
        <v>5200</v>
      </c>
      <c r="D89" s="86" t="s">
        <v>279</v>
      </c>
      <c r="E89" s="86"/>
      <c r="F89" s="125" t="s">
        <v>49</v>
      </c>
      <c r="G89" s="86"/>
      <c r="H89" s="86"/>
      <c r="I89" s="86"/>
      <c r="J89" s="98"/>
    </row>
    <row r="90" spans="1:10" ht="28">
      <c r="A90" s="97">
        <v>255</v>
      </c>
      <c r="B90" s="83" t="s">
        <v>5193</v>
      </c>
      <c r="C90" s="84" t="s">
        <v>5201</v>
      </c>
      <c r="D90" s="86" t="s">
        <v>279</v>
      </c>
      <c r="E90" s="86"/>
      <c r="F90" s="86" t="s">
        <v>49</v>
      </c>
      <c r="G90" s="86"/>
      <c r="H90" s="86"/>
      <c r="I90" s="86"/>
      <c r="J90" s="98"/>
    </row>
    <row r="91" spans="1:10" ht="28">
      <c r="A91" s="97">
        <v>162</v>
      </c>
      <c r="B91" s="83" t="s">
        <v>5234</v>
      </c>
      <c r="C91" s="84" t="s">
        <v>5233</v>
      </c>
      <c r="D91" s="86" t="s">
        <v>279</v>
      </c>
      <c r="E91" s="86"/>
      <c r="F91" s="86" t="s">
        <v>49</v>
      </c>
      <c r="G91" s="86"/>
      <c r="H91" s="86"/>
      <c r="I91" s="86"/>
      <c r="J91" s="98"/>
    </row>
    <row r="92" spans="1:10">
      <c r="C92" s="119" t="s">
        <v>6191</v>
      </c>
      <c r="D92" s="42">
        <f>COUNTA(D63:D91)</f>
        <v>29</v>
      </c>
    </row>
  </sheetData>
  <sortState ref="A2:J78">
    <sortCondition ref="D2:D78"/>
  </sortState>
  <hyperlinks>
    <hyperlink ref="A25" r:id="rId1" display="http://www.westlaw.com/Find/Default.wl?rs=dfa1.0&amp;vr=2.0&amp;DB=506&amp;FindType=Y&amp;SerialNum=2008311064"/>
    <hyperlink ref="A26" r:id="rId2" display="http://www.westlaw.com/Find/Default.wl?rs=dfa1.0&amp;vr=2.0&amp;DB=506&amp;FindType=Y&amp;SerialNum=2008286170"/>
    <hyperlink ref="A27" r:id="rId3" display="http://www.westlaw.com/Find/Default.wl?rs=dfa1.0&amp;vr=2.0&amp;DB=506&amp;FindType=Y&amp;SerialNum=2008286183"/>
    <hyperlink ref="A28" r:id="rId4" display="http://www.westlaw.com/Find/Default.wl?rs=dfa1.0&amp;vr=2.0&amp;DB=6538&amp;FindType=Y&amp;SerialNum=2008310238"/>
    <hyperlink ref="A29" r:id="rId5" display="http://www.westlaw.com/Find/Default.wl?rs=dfa1.0&amp;vr=2.0&amp;DB=6538&amp;FindType=Y&amp;SerialNum=2008264249"/>
    <hyperlink ref="A20" r:id="rId6" display="http://www.westlaw.com/Find/Default.wl?rs=dfa1.0&amp;vr=2.0&amp;DB=506&amp;FindType=Y&amp;SerialNum=2008212386"/>
    <hyperlink ref="A30" r:id="rId7" display="http://www.westlaw.com/Find/Default.wl?rs=dfa1.0&amp;vr=2.0&amp;DB=506&amp;FindType=Y&amp;SerialNum=2008187899"/>
    <hyperlink ref="A31" r:id="rId8" display="http://www.westlaw.com/Find/Default.wl?rs=dfa1.0&amp;vr=2.0&amp;DB=506&amp;FindType=Y&amp;SerialNum=2008187902"/>
    <hyperlink ref="A32" r:id="rId9" display="http://www.westlaw.com/Find/Default.wl?rs=dfa1.0&amp;vr=2.0&amp;DB=506&amp;FindType=Y&amp;SerialNum=2008142757"/>
    <hyperlink ref="A33" r:id="rId10" display="http://www.westlaw.com/Find/Default.wl?rs=dfa1.0&amp;vr=2.0&amp;DB=506&amp;FindType=Y&amp;SerialNum=2008082440"/>
    <hyperlink ref="A34" r:id="rId11" display="http://www.westlaw.com/Find/Default.wl?rs=dfa1.0&amp;vr=2.0&amp;DB=506&amp;FindType=Y&amp;SerialNum=2007924404"/>
    <hyperlink ref="A21" r:id="rId12" display="http://www.westlaw.com/Find/Default.wl?rs=dfa1.0&amp;vr=2.0&amp;DB=506&amp;FindType=Y&amp;SerialNum=2007908405"/>
    <hyperlink ref="A35" r:id="rId13" display="http://www.westlaw.com/Find/Default.wl?rs=dfa1.0&amp;vr=2.0&amp;DB=6538&amp;FindType=Y&amp;SerialNum=2007915182"/>
    <hyperlink ref="A63" r:id="rId14" display="http://www.westlaw.com/Find/Default.wl?rs=dfa1.0&amp;vr=2.0&amp;DB=6538&amp;FindType=Y&amp;SerialNum=2007905202"/>
    <hyperlink ref="A36" r:id="rId15" display="http://www.westlaw.com/Find/Default.wl?rs=dfa1.0&amp;vr=2.0&amp;DB=506&amp;FindType=Y&amp;SerialNum=2007898984"/>
    <hyperlink ref="A37" r:id="rId16" display="http://www.westlaw.com/Find/Default.wl?rs=dfa1.0&amp;vr=2.0&amp;DB=506&amp;FindType=Y&amp;SerialNum=2007899022"/>
    <hyperlink ref="A38" r:id="rId17" display="http://www.westlaw.com/Find/Default.wl?rs=dfa1.0&amp;vr=2.0&amp;DB=6538&amp;FindType=Y&amp;SerialNum=2007900635"/>
    <hyperlink ref="A64" r:id="rId18" display="http://www.westlaw.com/Find/Default.wl?rs=dfa1.0&amp;vr=2.0&amp;DB=6538&amp;FindType=Y&amp;SerialNum=2007834099"/>
    <hyperlink ref="A65" r:id="rId19" display="http://www.westlaw.com/Find/Default.wl?rs=dfa1.0&amp;vr=2.0&amp;DB=6538&amp;FindType=Y&amp;SerialNum=2007824633"/>
    <hyperlink ref="A66" r:id="rId20" display="http://www.westlaw.com/Find/Default.wl?rs=dfa1.0&amp;vr=2.0&amp;DB=6538&amp;FindType=Y&amp;SerialNum=2007824635"/>
    <hyperlink ref="A39" r:id="rId21" display="http://www.westlaw.com/Find/Default.wl?rs=dfa1.0&amp;vr=2.0&amp;DB=506&amp;FindType=Y&amp;SerialNum=2007791510"/>
    <hyperlink ref="A67" r:id="rId22" display="http://www.westlaw.com/Find/Default.wl?rs=dfa1.0&amp;vr=2.0&amp;DB=6538&amp;FindType=Y&amp;SerialNum=2007757965"/>
    <hyperlink ref="A68" r:id="rId23" display="http://www.westlaw.com/Find/Default.wl?rs=dfa1.0&amp;vr=2.0&amp;DB=6538&amp;FindType=Y&amp;SerialNum=2007691874"/>
    <hyperlink ref="A40" r:id="rId24" display="http://www.westlaw.com/Find/Default.wl?rs=dfa1.0&amp;vr=2.0&amp;DB=6538&amp;FindType=Y&amp;SerialNum=2007667354"/>
    <hyperlink ref="A69" r:id="rId25" display="http://www.westlaw.com/Find/Default.wl?rs=dfa1.0&amp;vr=2.0&amp;DB=6538&amp;FindType=Y&amp;SerialNum=2007659894"/>
    <hyperlink ref="A70" r:id="rId26" display="http://www.westlaw.com/Find/Default.wl?rs=dfa1.0&amp;vr=2.0&amp;DB=6538&amp;FindType=Y&amp;SerialNum=2007588970"/>
    <hyperlink ref="A41" r:id="rId27" display="http://www.westlaw.com/Find/Default.wl?rs=dfa1.0&amp;vr=2.0&amp;DB=6538&amp;FindType=Y&amp;SerialNum=2007593047"/>
    <hyperlink ref="A42" r:id="rId28" display="http://www.westlaw.com/Find/Default.wl?rs=dfa1.0&amp;vr=2.0&amp;DB=506&amp;FindType=Y&amp;SerialNum=2007581314"/>
    <hyperlink ref="A43" r:id="rId29" display="http://www.westlaw.com/Find/Default.wl?rs=dfa1.0&amp;vr=2.0&amp;DB=6538&amp;FindType=Y&amp;SerialNum=2007582914"/>
    <hyperlink ref="A71" r:id="rId30" display="http://www.westlaw.com/Find/Default.wl?rs=dfa1.0&amp;vr=2.0&amp;DB=6538&amp;FindType=Y&amp;SerialNum=2007582915"/>
    <hyperlink ref="A24" r:id="rId31" display="http://www.westlaw.com/Find/Default.wl?rs=dfa1.0&amp;vr=2.0&amp;DB=506&amp;FindType=Y&amp;SerialNum=2007569652"/>
    <hyperlink ref="A72" r:id="rId32" display="http://www.westlaw.com/Find/Default.wl?rs=dfa1.0&amp;vr=2.0&amp;DB=6538&amp;FindType=Y&amp;SerialNum=2007567821"/>
    <hyperlink ref="A73" r:id="rId33" display="http://www.westlaw.com/Find/Default.wl?rs=dfa1.0&amp;vr=2.0&amp;DB=6538&amp;FindType=Y&amp;SerialNum=2007567824"/>
    <hyperlink ref="A44" r:id="rId34" display="http://www.westlaw.com/Find/Default.wl?rs=dfa1.0&amp;vr=2.0&amp;DB=6538&amp;FindType=Y&amp;SerialNum=2007567826"/>
    <hyperlink ref="A74" r:id="rId35" display="http://www.westlaw.com/Find/Default.wl?rs=dfa1.0&amp;vr=2.0&amp;DB=6538&amp;FindType=Y&amp;SerialNum=2007564811"/>
    <hyperlink ref="A45" r:id="rId36" display="http://www.westlaw.com/Find/Default.wl?rs=dfa1.0&amp;vr=2.0&amp;DB=6538&amp;FindType=Y&amp;SerialNum=2007553952"/>
    <hyperlink ref="A75" r:id="rId37" display="http://www.westlaw.com/Find/Default.wl?rs=dfa1.0&amp;vr=2.0&amp;DB=6538&amp;FindType=Y&amp;SerialNum=2007541011"/>
    <hyperlink ref="A76" r:id="rId38" display="http://www.westlaw.com/Find/Default.wl?rs=dfa1.0&amp;vr=2.0&amp;DB=6538&amp;FindType=Y&amp;SerialNum=2007541014"/>
    <hyperlink ref="A77" r:id="rId39" display="http://www.westlaw.com/Find/Default.wl?rs=dfa1.0&amp;vr=2.0&amp;DB=6538&amp;FindType=Y&amp;SerialNum=2007535015"/>
    <hyperlink ref="A78" r:id="rId40" display="http://www.westlaw.com/Find/Default.wl?rs=dfa1.0&amp;vr=2.0&amp;DB=6538&amp;FindType=Y&amp;SerialNum=2007535016"/>
    <hyperlink ref="A46" r:id="rId41" display="http://www.westlaw.com/Find/Default.wl?rs=dfa1.0&amp;vr=2.0&amp;DB=6538&amp;FindType=Y&amp;SerialNum=2007535019"/>
    <hyperlink ref="A79" r:id="rId42" display="http://www.westlaw.com/Find/Default.wl?rs=dfa1.0&amp;vr=2.0&amp;DB=6538&amp;FindType=Y&amp;SerialNum=2007530990"/>
    <hyperlink ref="A47" r:id="rId43" display="http://www.westlaw.com/Find/Default.wl?rs=dfa1.0&amp;vr=2.0&amp;DB=6538&amp;FindType=Y&amp;SerialNum=2007509541"/>
    <hyperlink ref="A48" r:id="rId44" display="http://www.westlaw.com/Find/Default.wl?rs=dfa1.0&amp;vr=2.0&amp;DB=506&amp;FindType=Y&amp;SerialNum=2007488901"/>
    <hyperlink ref="A80" r:id="rId45" display="http://www.westlaw.com/Find/Default.wl?rs=dfa1.0&amp;vr=2.0&amp;DB=6538&amp;FindType=Y&amp;SerialNum=2007491404"/>
    <hyperlink ref="A81" r:id="rId46" display="http://www.westlaw.com/Find/Default.wl?rs=dfa1.0&amp;vr=2.0&amp;DB=6538&amp;FindType=Y&amp;SerialNum=2007491694"/>
    <hyperlink ref="A82" r:id="rId47" display="http://www.westlaw.com/Find/Default.wl?rs=dfa1.0&amp;vr=2.0&amp;DB=6538&amp;FindType=Y&amp;SerialNum=2007500117"/>
    <hyperlink ref="A83" r:id="rId48" display="http://www.westlaw.com/Find/Default.wl?rs=dfa1.0&amp;vr=2.0&amp;DB=6538&amp;FindType=Y&amp;SerialNum=2007500118"/>
    <hyperlink ref="A84" r:id="rId49" display="http://www.westlaw.com/Find/Default.wl?rs=dfa1.0&amp;vr=2.0&amp;DB=6538&amp;FindType=Y&amp;SerialNum=2007483742"/>
    <hyperlink ref="A49" r:id="rId50" display="http://www.westlaw.com/Find/Default.wl?rs=dfa1.0&amp;vr=2.0&amp;DB=6538&amp;FindType=Y&amp;SerialNum=2007483744"/>
    <hyperlink ref="A85" r:id="rId51" display="http://www.westlaw.com/Find/Default.wl?rs=dfa1.0&amp;vr=2.0&amp;DB=6538&amp;FindType=Y&amp;SerialNum=2007483745"/>
    <hyperlink ref="A86" r:id="rId52" display="http://www.westlaw.com/Find/Default.wl?rs=dfa1.0&amp;vr=2.0&amp;DB=6538&amp;FindType=Y&amp;SerialNum=2007466242"/>
    <hyperlink ref="A87" r:id="rId53" display="http://www.westlaw.com/Find/Default.wl?rs=dfa1.0&amp;vr=2.0&amp;DB=6538&amp;FindType=Y&amp;SerialNum=2007466243"/>
    <hyperlink ref="A50" r:id="rId54" display="http://www.westlaw.com/Find/Default.wl?rs=dfa1.0&amp;vr=2.0&amp;DB=6538&amp;FindType=Y&amp;SerialNum=2007466246"/>
    <hyperlink ref="A88" r:id="rId55" display="http://www.westlaw.com/Find/Default.wl?rs=dfa1.0&amp;vr=2.0&amp;DB=6538&amp;FindType=Y&amp;SerialNum=2007466247"/>
    <hyperlink ref="A89" r:id="rId56" display="http://www.westlaw.com/Find/Default.wl?rs=dfa1.0&amp;vr=2.0&amp;DB=6538&amp;FindType=Y&amp;SerialNum=2007470332"/>
    <hyperlink ref="A90" r:id="rId57" display="http://www.westlaw.com/Find/Default.wl?rs=dfa1.0&amp;vr=2.0&amp;DB=6538&amp;FindType=Y&amp;SerialNum=2007470333"/>
    <hyperlink ref="A51" r:id="rId58" display="http://www.westlaw.com/Find/Default.wl?rs=dfa1.0&amp;vr=2.0&amp;DB=6538&amp;FindType=Y&amp;SerialNum=2007434504"/>
    <hyperlink ref="A91" r:id="rId59" display="http://www.westlaw.com/Find/Default.wl?rs=dfa1.0&amp;vr=2.0&amp;DB=6538&amp;FindType=Y&amp;SerialNum=2010048307"/>
    <hyperlink ref="A60" r:id="rId60" display="http://www.westlaw.com/Find/Default.wl?rs=dfa1.0&amp;vr=2.0&amp;DB=506&amp;FindType=Y&amp;SerialNum=2008318802"/>
    <hyperlink ref="A59" r:id="rId61" display="http://www.westlaw.com/Find/Default.wl?rs=dfa1.0&amp;vr=2.0&amp;DB=506&amp;FindType=Y&amp;SerialNum=2008318797"/>
    <hyperlink ref="A58" r:id="rId62" display="http://www.westlaw.com/Find/Default.wl?rs=dfa1.0&amp;vr=2.0&amp;DB=506&amp;FindType=Y&amp;SerialNum=2008318792"/>
    <hyperlink ref="A57" r:id="rId63" display="http://www.westlaw.com/Find/Default.wl?rs=dfa1.0&amp;vr=2.0&amp;DB=506&amp;FindType=Y&amp;SerialNum=2008410800"/>
    <hyperlink ref="A56" r:id="rId64" display="http://www.westlaw.com/Find/Default.wl?rs=dfa1.0&amp;vr=2.0&amp;DB=506&amp;FindType=Y&amp;SerialNum=2008410799"/>
    <hyperlink ref="A55" r:id="rId65" display="http://www.westlaw.com/Find/Default.wl?rs=dfa1.0&amp;vr=2.0&amp;DB=506&amp;FindType=Y&amp;SerialNum=2008419456"/>
    <hyperlink ref="A54" r:id="rId66" display="http://www.westlaw.com/Find/Default.wl?rs=dfa1.0&amp;vr=2.0&amp;DB=506&amp;FindType=Y&amp;SerialNum=2008742881"/>
    <hyperlink ref="A53" r:id="rId67" display="http://www.westlaw.com/Find/Default.wl?rs=dfa1.0&amp;vr=2.0&amp;DB=6538&amp;FindType=Y&amp;SerialNum=2009653505"/>
    <hyperlink ref="A52" r:id="rId68" display="http://www.westlaw.com/Find/Default.wl?rs=dfa1.0&amp;vr=2.0&amp;DB=506&amp;FindType=Y&amp;SerialNum=2009673907"/>
  </hyperlink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zoomScale="85" zoomScaleNormal="85" zoomScalePageLayoutView="85" workbookViewId="0"/>
  </sheetViews>
  <sheetFormatPr baseColWidth="10" defaultColWidth="8.83203125" defaultRowHeight="14" x14ac:dyDescent="0"/>
  <cols>
    <col min="2" max="2" width="22.1640625" customWidth="1"/>
    <col min="3" max="3" width="18.6640625" customWidth="1"/>
    <col min="17" max="17" width="22.5" customWidth="1"/>
    <col min="18" max="18" width="13" customWidth="1"/>
    <col min="19" max="19" width="10.5" customWidth="1"/>
    <col min="21" max="21" width="12" customWidth="1"/>
  </cols>
  <sheetData>
    <row r="1" spans="1:21" ht="49">
      <c r="A1" s="3" t="s">
        <v>5</v>
      </c>
      <c r="B1" s="3" t="s">
        <v>977</v>
      </c>
      <c r="C1" s="3" t="s">
        <v>7</v>
      </c>
      <c r="D1" s="3" t="s">
        <v>8</v>
      </c>
      <c r="E1" s="3" t="s">
        <v>9</v>
      </c>
      <c r="F1" s="3" t="s">
        <v>10</v>
      </c>
      <c r="G1" s="3" t="s">
        <v>14</v>
      </c>
      <c r="H1" s="3" t="s">
        <v>15</v>
      </c>
      <c r="I1" s="3" t="s">
        <v>978</v>
      </c>
      <c r="J1" s="3" t="s">
        <v>11</v>
      </c>
      <c r="K1" s="3" t="s">
        <v>979</v>
      </c>
      <c r="L1" s="4" t="s">
        <v>980</v>
      </c>
    </row>
    <row r="2" spans="1:21">
      <c r="A2">
        <f>COUNTA(Q5:Q7)</f>
        <v>3</v>
      </c>
      <c r="B2">
        <f>COUNTA(U5)</f>
        <v>1</v>
      </c>
      <c r="C2">
        <v>0</v>
      </c>
      <c r="D2">
        <v>0</v>
      </c>
      <c r="E2">
        <f>COUNTA(Q14:Q16)</f>
        <v>3</v>
      </c>
      <c r="F2">
        <f>COUNTA(Q10:Q11)</f>
        <v>2</v>
      </c>
      <c r="G2">
        <f>D59</f>
        <v>1</v>
      </c>
      <c r="H2">
        <v>0</v>
      </c>
      <c r="I2">
        <f>COUNTA(B19:B44)</f>
        <v>26</v>
      </c>
      <c r="J2">
        <f>COUNTA(B47:B55)</f>
        <v>9</v>
      </c>
      <c r="K2">
        <v>0</v>
      </c>
      <c r="L2">
        <f>F132</f>
        <v>69</v>
      </c>
    </row>
    <row r="4" spans="1:21" ht="112">
      <c r="A4" s="37" t="s">
        <v>981</v>
      </c>
      <c r="B4" s="37" t="s">
        <v>982</v>
      </c>
      <c r="C4" s="38" t="s">
        <v>983</v>
      </c>
      <c r="D4" s="38" t="s">
        <v>984</v>
      </c>
      <c r="E4" s="38" t="s">
        <v>985</v>
      </c>
      <c r="F4" s="38" t="s">
        <v>986</v>
      </c>
      <c r="G4" s="37" t="s">
        <v>987</v>
      </c>
      <c r="H4" s="37" t="s">
        <v>988</v>
      </c>
      <c r="I4" s="38" t="s">
        <v>989</v>
      </c>
      <c r="J4" s="38" t="s">
        <v>990</v>
      </c>
      <c r="K4" s="38" t="s">
        <v>991</v>
      </c>
      <c r="L4" s="37" t="s">
        <v>992</v>
      </c>
      <c r="M4" s="37" t="s">
        <v>993</v>
      </c>
      <c r="N4" s="37" t="s">
        <v>994</v>
      </c>
      <c r="O4" s="37" t="s">
        <v>995</v>
      </c>
      <c r="P4" s="38" t="s">
        <v>996</v>
      </c>
      <c r="Q4" s="37" t="s">
        <v>997</v>
      </c>
      <c r="R4" s="37" t="s">
        <v>998</v>
      </c>
      <c r="S4" s="37" t="s">
        <v>999</v>
      </c>
      <c r="T4" s="37" t="s">
        <v>6193</v>
      </c>
      <c r="U4" s="37" t="s">
        <v>6194</v>
      </c>
    </row>
    <row r="5" spans="1:21">
      <c r="A5" s="39">
        <v>38838</v>
      </c>
      <c r="B5">
        <v>1</v>
      </c>
      <c r="C5" s="40" t="s">
        <v>6195</v>
      </c>
      <c r="D5" s="40" t="s">
        <v>6196</v>
      </c>
      <c r="E5" s="40" t="s">
        <v>6197</v>
      </c>
      <c r="F5" s="40" t="s">
        <v>6198</v>
      </c>
      <c r="G5">
        <v>2005</v>
      </c>
      <c r="H5">
        <v>1702</v>
      </c>
      <c r="I5" s="40" t="s">
        <v>1005</v>
      </c>
      <c r="J5" s="40" t="s">
        <v>6199</v>
      </c>
      <c r="K5" s="40" t="s">
        <v>6200</v>
      </c>
      <c r="L5" s="39">
        <v>38770</v>
      </c>
      <c r="M5">
        <v>9</v>
      </c>
      <c r="N5">
        <v>0</v>
      </c>
      <c r="O5">
        <v>111</v>
      </c>
      <c r="P5" s="40" t="s">
        <v>1008</v>
      </c>
      <c r="Q5">
        <v>1</v>
      </c>
      <c r="R5">
        <v>2</v>
      </c>
      <c r="S5">
        <v>2</v>
      </c>
      <c r="T5" t="s">
        <v>1009</v>
      </c>
      <c r="U5" t="s">
        <v>1010</v>
      </c>
    </row>
    <row r="6" spans="1:21">
      <c r="A6" s="39">
        <v>38873</v>
      </c>
      <c r="B6">
        <v>1</v>
      </c>
      <c r="C6" s="40" t="s">
        <v>6201</v>
      </c>
      <c r="D6" s="40" t="s">
        <v>6202</v>
      </c>
      <c r="E6" s="40" t="s">
        <v>6203</v>
      </c>
      <c r="F6" s="40" t="s">
        <v>6204</v>
      </c>
      <c r="G6">
        <v>2005</v>
      </c>
      <c r="H6">
        <v>1702</v>
      </c>
      <c r="I6" s="40" t="s">
        <v>1005</v>
      </c>
      <c r="J6" s="40" t="s">
        <v>6205</v>
      </c>
      <c r="K6" s="40" t="s">
        <v>6206</v>
      </c>
      <c r="L6" s="39">
        <v>38825</v>
      </c>
      <c r="M6">
        <v>9</v>
      </c>
      <c r="N6">
        <v>0</v>
      </c>
      <c r="O6">
        <v>111</v>
      </c>
      <c r="P6" s="40" t="s">
        <v>1008</v>
      </c>
      <c r="Q6">
        <v>1</v>
      </c>
      <c r="R6">
        <v>2</v>
      </c>
      <c r="S6">
        <v>2</v>
      </c>
      <c r="T6" t="s">
        <v>1009</v>
      </c>
      <c r="U6" t="s">
        <v>1009</v>
      </c>
    </row>
    <row r="7" spans="1:21">
      <c r="A7" s="39">
        <v>38890</v>
      </c>
      <c r="B7">
        <v>1</v>
      </c>
      <c r="C7" s="40" t="s">
        <v>6207</v>
      </c>
      <c r="D7" s="40" t="s">
        <v>6208</v>
      </c>
      <c r="E7" s="40" t="s">
        <v>6209</v>
      </c>
      <c r="F7" s="40" t="s">
        <v>6210</v>
      </c>
      <c r="G7">
        <v>2005</v>
      </c>
      <c r="H7">
        <v>1702</v>
      </c>
      <c r="I7" s="40" t="s">
        <v>1005</v>
      </c>
      <c r="J7" s="40" t="s">
        <v>6211</v>
      </c>
      <c r="K7" s="40" t="s">
        <v>6212</v>
      </c>
      <c r="L7" s="39">
        <v>38798</v>
      </c>
      <c r="M7">
        <v>6</v>
      </c>
      <c r="N7">
        <v>3</v>
      </c>
      <c r="O7">
        <v>111</v>
      </c>
      <c r="P7" s="40" t="s">
        <v>1008</v>
      </c>
      <c r="Q7">
        <v>1</v>
      </c>
      <c r="R7">
        <v>2</v>
      </c>
      <c r="S7">
        <v>2</v>
      </c>
      <c r="T7" t="s">
        <v>1009</v>
      </c>
      <c r="U7" t="s">
        <v>1009</v>
      </c>
    </row>
    <row r="8" spans="1:21">
      <c r="A8" s="39"/>
      <c r="C8" s="40"/>
      <c r="D8" s="40"/>
      <c r="E8" s="40"/>
      <c r="F8" s="40"/>
      <c r="I8" s="40"/>
      <c r="J8" s="40"/>
      <c r="K8" s="40"/>
      <c r="L8" s="39"/>
      <c r="P8" s="40"/>
    </row>
    <row r="9" spans="1:21">
      <c r="A9" s="39"/>
      <c r="C9" s="40"/>
      <c r="D9" s="40"/>
      <c r="E9" s="40"/>
      <c r="F9" s="40"/>
      <c r="I9" s="40"/>
      <c r="J9" s="40"/>
      <c r="K9" s="40"/>
      <c r="L9" s="39"/>
      <c r="P9" s="40"/>
    </row>
    <row r="10" spans="1:21">
      <c r="A10" s="39">
        <v>38894</v>
      </c>
      <c r="B10">
        <v>1</v>
      </c>
      <c r="C10" s="40" t="s">
        <v>6213</v>
      </c>
      <c r="D10" s="40" t="s">
        <v>6214</v>
      </c>
      <c r="E10" s="40" t="s">
        <v>6215</v>
      </c>
      <c r="F10" s="40" t="s">
        <v>6216</v>
      </c>
      <c r="G10">
        <v>2005</v>
      </c>
      <c r="H10">
        <v>1702</v>
      </c>
      <c r="I10" s="40" t="s">
        <v>1005</v>
      </c>
      <c r="J10" s="40" t="s">
        <v>6217</v>
      </c>
      <c r="K10" s="40" t="s">
        <v>6218</v>
      </c>
      <c r="L10" s="39">
        <v>38825</v>
      </c>
      <c r="M10">
        <v>5</v>
      </c>
      <c r="N10">
        <v>4</v>
      </c>
      <c r="O10">
        <v>111</v>
      </c>
      <c r="P10" s="40" t="s">
        <v>1008</v>
      </c>
      <c r="Q10">
        <v>2</v>
      </c>
      <c r="R10">
        <v>2</v>
      </c>
      <c r="S10">
        <v>1</v>
      </c>
    </row>
    <row r="11" spans="1:21">
      <c r="A11" s="39">
        <v>38897</v>
      </c>
      <c r="B11">
        <v>1</v>
      </c>
      <c r="C11" s="40" t="s">
        <v>6219</v>
      </c>
      <c r="D11" s="40" t="s">
        <v>6220</v>
      </c>
      <c r="E11" s="40" t="s">
        <v>6221</v>
      </c>
      <c r="F11" s="40" t="s">
        <v>6222</v>
      </c>
      <c r="G11">
        <v>2005</v>
      </c>
      <c r="H11">
        <v>1702</v>
      </c>
      <c r="I11" s="40" t="s">
        <v>1005</v>
      </c>
      <c r="J11" s="40" t="s">
        <v>6223</v>
      </c>
      <c r="K11" s="40" t="s">
        <v>6224</v>
      </c>
      <c r="L11" s="39">
        <v>38804</v>
      </c>
      <c r="M11">
        <v>5</v>
      </c>
      <c r="N11">
        <v>3</v>
      </c>
      <c r="O11">
        <v>111</v>
      </c>
      <c r="P11" s="40" t="s">
        <v>1008</v>
      </c>
      <c r="Q11">
        <v>2</v>
      </c>
      <c r="R11">
        <v>2</v>
      </c>
      <c r="S11">
        <v>1</v>
      </c>
    </row>
    <row r="12" spans="1:21">
      <c r="A12" s="39"/>
      <c r="C12" s="40"/>
      <c r="D12" s="40"/>
      <c r="E12" s="40"/>
      <c r="F12" s="40"/>
      <c r="I12" s="40"/>
      <c r="J12" s="40"/>
      <c r="K12" s="40"/>
      <c r="L12" s="39"/>
      <c r="P12" s="40"/>
    </row>
    <row r="13" spans="1:21">
      <c r="A13" s="39"/>
      <c r="C13" s="40"/>
      <c r="D13" s="40"/>
      <c r="E13" s="40"/>
      <c r="F13" s="40"/>
      <c r="I13" s="40"/>
      <c r="J13" s="40"/>
      <c r="K13" s="40"/>
      <c r="L13" s="39"/>
      <c r="P13" s="40"/>
    </row>
    <row r="14" spans="1:21">
      <c r="A14" s="39">
        <v>38890</v>
      </c>
      <c r="B14">
        <v>1</v>
      </c>
      <c r="C14" s="40" t="s">
        <v>6225</v>
      </c>
      <c r="D14" s="40" t="s">
        <v>6226</v>
      </c>
      <c r="E14" s="40" t="s">
        <v>6227</v>
      </c>
      <c r="F14" s="40" t="s">
        <v>6228</v>
      </c>
      <c r="G14">
        <v>2005</v>
      </c>
      <c r="H14">
        <v>1702</v>
      </c>
      <c r="I14" s="40" t="s">
        <v>1005</v>
      </c>
      <c r="J14" s="40" t="s">
        <v>6229</v>
      </c>
      <c r="K14" s="40" t="s">
        <v>6230</v>
      </c>
      <c r="L14" s="39">
        <v>38832</v>
      </c>
      <c r="M14">
        <v>7</v>
      </c>
      <c r="N14">
        <v>2</v>
      </c>
      <c r="O14">
        <v>111</v>
      </c>
      <c r="P14" s="40" t="s">
        <v>1008</v>
      </c>
      <c r="Q14">
        <v>3</v>
      </c>
      <c r="R14">
        <v>2</v>
      </c>
      <c r="S14">
        <v>2</v>
      </c>
    </row>
    <row r="15" spans="1:21">
      <c r="A15" s="39">
        <v>38890</v>
      </c>
      <c r="B15">
        <v>1</v>
      </c>
      <c r="C15" s="40" t="s">
        <v>6231</v>
      </c>
      <c r="D15" s="40" t="s">
        <v>6232</v>
      </c>
      <c r="E15" s="40" t="s">
        <v>6233</v>
      </c>
      <c r="F15" s="40" t="s">
        <v>6234</v>
      </c>
      <c r="G15">
        <v>2005</v>
      </c>
      <c r="H15">
        <v>1702</v>
      </c>
      <c r="I15" s="40" t="s">
        <v>1005</v>
      </c>
      <c r="J15" s="40" t="s">
        <v>6235</v>
      </c>
      <c r="K15" s="40" t="s">
        <v>6236</v>
      </c>
      <c r="L15" s="39">
        <v>38824</v>
      </c>
      <c r="M15">
        <v>9</v>
      </c>
      <c r="N15">
        <v>0</v>
      </c>
      <c r="O15">
        <v>111</v>
      </c>
      <c r="P15" s="40" t="s">
        <v>1008</v>
      </c>
      <c r="Q15">
        <v>4</v>
      </c>
      <c r="R15">
        <v>2</v>
      </c>
      <c r="S15">
        <v>2</v>
      </c>
    </row>
    <row r="16" spans="1:21">
      <c r="A16" s="39">
        <v>38894</v>
      </c>
      <c r="B16">
        <v>7</v>
      </c>
      <c r="C16" s="40" t="s">
        <v>6237</v>
      </c>
      <c r="D16" s="40" t="s">
        <v>6238</v>
      </c>
      <c r="E16" s="40" t="s">
        <v>6239</v>
      </c>
      <c r="F16" s="40" t="s">
        <v>6240</v>
      </c>
      <c r="G16">
        <v>2005</v>
      </c>
      <c r="H16">
        <v>1702</v>
      </c>
      <c r="I16" s="40" t="s">
        <v>1005</v>
      </c>
      <c r="J16" s="40" t="s">
        <v>6241</v>
      </c>
      <c r="K16" s="40" t="s">
        <v>6242</v>
      </c>
      <c r="L16" s="39">
        <v>38776</v>
      </c>
      <c r="M16">
        <v>6</v>
      </c>
      <c r="N16">
        <v>3</v>
      </c>
      <c r="O16">
        <v>111</v>
      </c>
      <c r="P16" s="40" t="s">
        <v>1008</v>
      </c>
      <c r="Q16">
        <v>4</v>
      </c>
      <c r="R16">
        <v>2</v>
      </c>
      <c r="S16">
        <v>2</v>
      </c>
    </row>
    <row r="17" spans="1:19">
      <c r="A17" s="39"/>
      <c r="C17" s="40"/>
      <c r="D17" s="40"/>
      <c r="E17" s="40"/>
      <c r="F17" s="40"/>
      <c r="I17" s="40"/>
      <c r="J17" s="40"/>
      <c r="K17" s="40"/>
      <c r="L17" s="39"/>
      <c r="P17" s="40"/>
    </row>
    <row r="18" spans="1:19">
      <c r="A18" s="39"/>
      <c r="C18" s="40"/>
      <c r="D18" s="40"/>
      <c r="E18" s="40"/>
      <c r="F18" s="40"/>
      <c r="I18" s="40"/>
      <c r="J18" s="40"/>
      <c r="K18" s="40"/>
      <c r="L18" s="39"/>
      <c r="P18" s="40"/>
    </row>
    <row r="19" spans="1:19">
      <c r="A19" s="39">
        <v>38832</v>
      </c>
      <c r="B19">
        <v>1</v>
      </c>
      <c r="C19" s="40" t="s">
        <v>6243</v>
      </c>
      <c r="D19" s="40" t="s">
        <v>6244</v>
      </c>
      <c r="E19" s="40" t="s">
        <v>6245</v>
      </c>
      <c r="F19" s="40" t="s">
        <v>6246</v>
      </c>
      <c r="G19">
        <v>2005</v>
      </c>
      <c r="H19">
        <v>1702</v>
      </c>
      <c r="I19" s="40" t="s">
        <v>1005</v>
      </c>
      <c r="J19" s="40" t="s">
        <v>6247</v>
      </c>
      <c r="K19" s="40" t="s">
        <v>6248</v>
      </c>
      <c r="L19" s="39">
        <v>38777</v>
      </c>
      <c r="M19">
        <v>9</v>
      </c>
      <c r="N19">
        <v>0</v>
      </c>
      <c r="O19">
        <v>111</v>
      </c>
      <c r="P19" s="40" t="s">
        <v>1008</v>
      </c>
      <c r="Q19">
        <v>1</v>
      </c>
      <c r="R19">
        <v>1</v>
      </c>
      <c r="S19">
        <v>2</v>
      </c>
    </row>
    <row r="20" spans="1:19">
      <c r="A20" s="39">
        <v>38832</v>
      </c>
      <c r="B20">
        <v>1</v>
      </c>
      <c r="C20" s="40" t="s">
        <v>6249</v>
      </c>
      <c r="D20" s="40" t="s">
        <v>6250</v>
      </c>
      <c r="E20" s="40" t="s">
        <v>6251</v>
      </c>
      <c r="F20" s="40" t="s">
        <v>6252</v>
      </c>
      <c r="G20">
        <v>2005</v>
      </c>
      <c r="H20">
        <v>1702</v>
      </c>
      <c r="I20" s="40" t="s">
        <v>1005</v>
      </c>
      <c r="J20" s="40" t="s">
        <v>6253</v>
      </c>
      <c r="K20" s="40" t="s">
        <v>6254</v>
      </c>
      <c r="L20" s="39">
        <v>38775</v>
      </c>
      <c r="M20">
        <v>6</v>
      </c>
      <c r="N20">
        <v>3</v>
      </c>
      <c r="O20">
        <v>111</v>
      </c>
      <c r="P20" s="40" t="s">
        <v>1008</v>
      </c>
      <c r="Q20">
        <v>1</v>
      </c>
      <c r="R20">
        <v>1</v>
      </c>
      <c r="S20">
        <v>2</v>
      </c>
    </row>
    <row r="21" spans="1:19">
      <c r="A21" s="39">
        <v>38838</v>
      </c>
      <c r="B21">
        <v>1</v>
      </c>
      <c r="C21" s="40" t="s">
        <v>6255</v>
      </c>
      <c r="D21" s="40" t="s">
        <v>6256</v>
      </c>
      <c r="E21" s="40" t="s">
        <v>6257</v>
      </c>
      <c r="F21" s="40" t="s">
        <v>6258</v>
      </c>
      <c r="G21">
        <v>2005</v>
      </c>
      <c r="H21">
        <v>1702</v>
      </c>
      <c r="I21" s="40" t="s">
        <v>1005</v>
      </c>
      <c r="J21" s="40" t="s">
        <v>6259</v>
      </c>
      <c r="K21" s="40" t="s">
        <v>6260</v>
      </c>
      <c r="L21" s="39">
        <v>38775</v>
      </c>
      <c r="M21">
        <v>9</v>
      </c>
      <c r="N21">
        <v>0</v>
      </c>
      <c r="O21">
        <v>111</v>
      </c>
      <c r="P21" s="40" t="s">
        <v>1008</v>
      </c>
      <c r="Q21">
        <v>1</v>
      </c>
      <c r="R21">
        <v>1</v>
      </c>
      <c r="S21">
        <v>2</v>
      </c>
    </row>
    <row r="22" spans="1:19">
      <c r="A22" s="39">
        <v>38838</v>
      </c>
      <c r="B22">
        <v>1</v>
      </c>
      <c r="C22" s="40" t="s">
        <v>6261</v>
      </c>
      <c r="D22" s="40" t="s">
        <v>6262</v>
      </c>
      <c r="E22" s="40" t="s">
        <v>6263</v>
      </c>
      <c r="F22" s="40" t="s">
        <v>6264</v>
      </c>
      <c r="G22">
        <v>2005</v>
      </c>
      <c r="H22">
        <v>1702</v>
      </c>
      <c r="I22" s="40" t="s">
        <v>1005</v>
      </c>
      <c r="J22" s="40" t="s">
        <v>6265</v>
      </c>
      <c r="K22" s="40" t="s">
        <v>6266</v>
      </c>
      <c r="L22" s="39">
        <v>38776</v>
      </c>
      <c r="M22">
        <v>9</v>
      </c>
      <c r="N22">
        <v>0</v>
      </c>
      <c r="O22">
        <v>111</v>
      </c>
      <c r="P22" s="40" t="s">
        <v>1008</v>
      </c>
      <c r="Q22">
        <v>1</v>
      </c>
      <c r="R22">
        <v>1</v>
      </c>
      <c r="S22">
        <v>2</v>
      </c>
    </row>
    <row r="23" spans="1:19">
      <c r="A23" s="39">
        <v>38852</v>
      </c>
      <c r="B23">
        <v>1</v>
      </c>
      <c r="C23" s="40" t="s">
        <v>6267</v>
      </c>
      <c r="D23" s="40" t="s">
        <v>6268</v>
      </c>
      <c r="E23" s="40" t="s">
        <v>6269</v>
      </c>
      <c r="F23" s="40" t="s">
        <v>6270</v>
      </c>
      <c r="G23">
        <v>2005</v>
      </c>
      <c r="H23">
        <v>1702</v>
      </c>
      <c r="I23" s="40" t="s">
        <v>1005</v>
      </c>
      <c r="J23" s="40" t="s">
        <v>6271</v>
      </c>
      <c r="K23" s="40" t="s">
        <v>6272</v>
      </c>
      <c r="L23" s="39">
        <v>38777</v>
      </c>
      <c r="M23">
        <v>9</v>
      </c>
      <c r="N23">
        <v>0</v>
      </c>
      <c r="O23">
        <v>111</v>
      </c>
      <c r="P23" s="40" t="s">
        <v>1008</v>
      </c>
      <c r="Q23">
        <v>1</v>
      </c>
      <c r="R23">
        <v>1</v>
      </c>
      <c r="S23">
        <v>2</v>
      </c>
    </row>
    <row r="24" spans="1:19">
      <c r="A24" s="39">
        <v>38852</v>
      </c>
      <c r="B24">
        <v>1</v>
      </c>
      <c r="C24" s="40" t="s">
        <v>6273</v>
      </c>
      <c r="D24" s="40" t="s">
        <v>6274</v>
      </c>
      <c r="E24" s="40" t="s">
        <v>6275</v>
      </c>
      <c r="F24" s="40" t="s">
        <v>6276</v>
      </c>
      <c r="G24">
        <v>2005</v>
      </c>
      <c r="H24">
        <v>1702</v>
      </c>
      <c r="I24" s="40" t="s">
        <v>1005</v>
      </c>
      <c r="J24" s="40" t="s">
        <v>6277</v>
      </c>
      <c r="K24" s="40" t="s">
        <v>6278</v>
      </c>
      <c r="L24" s="39">
        <v>38804</v>
      </c>
      <c r="M24">
        <v>9</v>
      </c>
      <c r="N24">
        <v>0</v>
      </c>
      <c r="O24">
        <v>111</v>
      </c>
      <c r="P24" s="40" t="s">
        <v>1008</v>
      </c>
      <c r="Q24">
        <v>1</v>
      </c>
      <c r="R24">
        <v>1</v>
      </c>
      <c r="S24">
        <v>2</v>
      </c>
    </row>
    <row r="25" spans="1:19">
      <c r="A25" s="39">
        <v>38852</v>
      </c>
      <c r="B25">
        <v>1</v>
      </c>
      <c r="C25" s="40" t="s">
        <v>6279</v>
      </c>
      <c r="D25" s="40" t="s">
        <v>6280</v>
      </c>
      <c r="E25" s="40" t="s">
        <v>6281</v>
      </c>
      <c r="F25" s="40" t="s">
        <v>6282</v>
      </c>
      <c r="G25">
        <v>2005</v>
      </c>
      <c r="H25">
        <v>1702</v>
      </c>
      <c r="I25" s="40" t="s">
        <v>1005</v>
      </c>
      <c r="J25" s="40" t="s">
        <v>6283</v>
      </c>
      <c r="K25" s="40" t="s">
        <v>6284</v>
      </c>
      <c r="L25" s="39">
        <v>38804</v>
      </c>
      <c r="M25">
        <v>9</v>
      </c>
      <c r="N25">
        <v>0</v>
      </c>
      <c r="O25">
        <v>111</v>
      </c>
      <c r="P25" s="40" t="s">
        <v>1008</v>
      </c>
      <c r="Q25">
        <v>1</v>
      </c>
      <c r="R25">
        <v>1</v>
      </c>
      <c r="S25">
        <v>2</v>
      </c>
    </row>
    <row r="26" spans="1:19">
      <c r="A26" s="39">
        <v>38852</v>
      </c>
      <c r="B26">
        <v>1</v>
      </c>
      <c r="C26" s="40" t="s">
        <v>6285</v>
      </c>
      <c r="D26" s="40" t="s">
        <v>6286</v>
      </c>
      <c r="E26" s="40" t="s">
        <v>6287</v>
      </c>
      <c r="F26" s="40" t="s">
        <v>6288</v>
      </c>
      <c r="G26">
        <v>2005</v>
      </c>
      <c r="H26">
        <v>1702</v>
      </c>
      <c r="I26" s="40" t="s">
        <v>1005</v>
      </c>
      <c r="J26" s="40" t="s">
        <v>6289</v>
      </c>
      <c r="K26" s="40" t="s">
        <v>6290</v>
      </c>
      <c r="L26" s="39">
        <v>38805</v>
      </c>
      <c r="M26">
        <v>9</v>
      </c>
      <c r="N26">
        <v>0</v>
      </c>
      <c r="O26">
        <v>111</v>
      </c>
      <c r="P26" s="40" t="s">
        <v>1008</v>
      </c>
      <c r="Q26">
        <v>1</v>
      </c>
      <c r="R26">
        <v>1</v>
      </c>
      <c r="S26">
        <v>2</v>
      </c>
    </row>
    <row r="27" spans="1:19">
      <c r="A27" s="39">
        <v>38859</v>
      </c>
      <c r="B27">
        <v>1</v>
      </c>
      <c r="C27" s="40" t="s">
        <v>6291</v>
      </c>
      <c r="D27" s="40" t="s">
        <v>6292</v>
      </c>
      <c r="E27" s="40" t="s">
        <v>6293</v>
      </c>
      <c r="F27" s="40" t="s">
        <v>6294</v>
      </c>
      <c r="G27">
        <v>2005</v>
      </c>
      <c r="H27">
        <v>1702</v>
      </c>
      <c r="I27" s="40" t="s">
        <v>1005</v>
      </c>
      <c r="J27" s="40" t="s">
        <v>6295</v>
      </c>
      <c r="K27" s="40" t="s">
        <v>6296</v>
      </c>
      <c r="L27" s="39">
        <v>38831</v>
      </c>
      <c r="M27">
        <v>8</v>
      </c>
      <c r="N27">
        <v>0</v>
      </c>
      <c r="O27">
        <v>111</v>
      </c>
      <c r="P27" s="40" t="s">
        <v>1008</v>
      </c>
      <c r="Q27">
        <v>1</v>
      </c>
      <c r="R27">
        <v>1</v>
      </c>
      <c r="S27">
        <v>2</v>
      </c>
    </row>
    <row r="28" spans="1:19">
      <c r="A28" s="39">
        <v>38867</v>
      </c>
      <c r="B28">
        <v>1</v>
      </c>
      <c r="C28" s="40" t="s">
        <v>6297</v>
      </c>
      <c r="D28" s="40" t="s">
        <v>6298</v>
      </c>
      <c r="E28" s="40" t="s">
        <v>6299</v>
      </c>
      <c r="F28" s="40" t="s">
        <v>6300</v>
      </c>
      <c r="G28">
        <v>2005</v>
      </c>
      <c r="H28">
        <v>1702</v>
      </c>
      <c r="I28" s="40" t="s">
        <v>1005</v>
      </c>
      <c r="J28" s="40" t="s">
        <v>6301</v>
      </c>
      <c r="K28" s="40" t="s">
        <v>6302</v>
      </c>
      <c r="L28" s="39">
        <v>38637</v>
      </c>
      <c r="M28">
        <v>5</v>
      </c>
      <c r="N28">
        <v>4</v>
      </c>
      <c r="O28">
        <v>111</v>
      </c>
      <c r="P28" s="40" t="s">
        <v>1008</v>
      </c>
      <c r="Q28">
        <v>1</v>
      </c>
      <c r="R28">
        <v>1</v>
      </c>
      <c r="S28">
        <v>2</v>
      </c>
    </row>
    <row r="29" spans="1:19">
      <c r="A29" s="39">
        <v>38873</v>
      </c>
      <c r="B29">
        <v>1</v>
      </c>
      <c r="C29" s="40" t="s">
        <v>6303</v>
      </c>
      <c r="D29" s="40" t="s">
        <v>6304</v>
      </c>
      <c r="E29" s="40" t="s">
        <v>6305</v>
      </c>
      <c r="F29" s="40" t="s">
        <v>6306</v>
      </c>
      <c r="G29">
        <v>2005</v>
      </c>
      <c r="H29">
        <v>1702</v>
      </c>
      <c r="I29" s="40" t="s">
        <v>1005</v>
      </c>
      <c r="J29" s="40" t="s">
        <v>6307</v>
      </c>
      <c r="K29" s="40" t="s">
        <v>6308</v>
      </c>
      <c r="L29" s="39">
        <v>38803</v>
      </c>
      <c r="M29">
        <v>9</v>
      </c>
      <c r="N29">
        <v>0</v>
      </c>
      <c r="O29">
        <v>111</v>
      </c>
      <c r="P29" s="40" t="s">
        <v>1008</v>
      </c>
      <c r="Q29">
        <v>1</v>
      </c>
      <c r="R29">
        <v>1</v>
      </c>
      <c r="S29">
        <v>2</v>
      </c>
    </row>
    <row r="30" spans="1:19">
      <c r="A30" s="39">
        <v>38880</v>
      </c>
      <c r="B30">
        <v>1</v>
      </c>
      <c r="C30" s="40" t="s">
        <v>6309</v>
      </c>
      <c r="D30" s="40" t="s">
        <v>6310</v>
      </c>
      <c r="E30" s="40" t="s">
        <v>6311</v>
      </c>
      <c r="F30" s="40" t="s">
        <v>6312</v>
      </c>
      <c r="G30">
        <v>2005</v>
      </c>
      <c r="H30">
        <v>1702</v>
      </c>
      <c r="I30" s="40" t="s">
        <v>1005</v>
      </c>
      <c r="J30" s="40" t="s">
        <v>6313</v>
      </c>
      <c r="K30" s="40" t="s">
        <v>6314</v>
      </c>
      <c r="L30" s="39">
        <v>38833</v>
      </c>
      <c r="M30">
        <v>9</v>
      </c>
      <c r="N30">
        <v>0</v>
      </c>
      <c r="O30">
        <v>111</v>
      </c>
      <c r="P30" s="40" t="s">
        <v>1008</v>
      </c>
      <c r="Q30">
        <v>1</v>
      </c>
      <c r="R30">
        <v>1</v>
      </c>
      <c r="S30">
        <v>2</v>
      </c>
    </row>
    <row r="31" spans="1:19">
      <c r="A31" s="39">
        <v>38883</v>
      </c>
      <c r="B31">
        <v>1</v>
      </c>
      <c r="C31" s="40" t="s">
        <v>6315</v>
      </c>
      <c r="D31" s="40" t="s">
        <v>6316</v>
      </c>
      <c r="E31" s="40" t="s">
        <v>6317</v>
      </c>
      <c r="F31" s="40" t="s">
        <v>6318</v>
      </c>
      <c r="G31">
        <v>2005</v>
      </c>
      <c r="H31">
        <v>1702</v>
      </c>
      <c r="I31" s="40" t="s">
        <v>1005</v>
      </c>
      <c r="J31" s="40" t="s">
        <v>6319</v>
      </c>
      <c r="K31" s="40" t="s">
        <v>6320</v>
      </c>
      <c r="L31" s="39">
        <v>38726</v>
      </c>
      <c r="M31">
        <v>5</v>
      </c>
      <c r="N31">
        <v>4</v>
      </c>
      <c r="O31">
        <v>111</v>
      </c>
      <c r="P31" s="40" t="s">
        <v>1008</v>
      </c>
      <c r="Q31">
        <v>1</v>
      </c>
      <c r="R31">
        <v>1</v>
      </c>
      <c r="S31">
        <v>2</v>
      </c>
    </row>
    <row r="32" spans="1:19">
      <c r="A32" s="39">
        <v>38883</v>
      </c>
      <c r="B32">
        <v>1</v>
      </c>
      <c r="C32" s="40" t="s">
        <v>6321</v>
      </c>
      <c r="D32" s="40" t="s">
        <v>6322</v>
      </c>
      <c r="E32" s="40" t="s">
        <v>6323</v>
      </c>
      <c r="F32" s="40" t="s">
        <v>6324</v>
      </c>
      <c r="G32">
        <v>2005</v>
      </c>
      <c r="H32">
        <v>1702</v>
      </c>
      <c r="I32" s="40" t="s">
        <v>1005</v>
      </c>
      <c r="J32" s="40" t="s">
        <v>6325</v>
      </c>
      <c r="K32" s="40" t="s">
        <v>6326</v>
      </c>
      <c r="L32" s="39">
        <v>38831</v>
      </c>
      <c r="M32">
        <v>9</v>
      </c>
      <c r="N32">
        <v>0</v>
      </c>
      <c r="O32">
        <v>111</v>
      </c>
      <c r="P32" s="40" t="s">
        <v>1008</v>
      </c>
      <c r="Q32">
        <v>1</v>
      </c>
      <c r="R32">
        <v>1</v>
      </c>
      <c r="S32">
        <v>2</v>
      </c>
    </row>
    <row r="33" spans="1:19">
      <c r="A33" s="39">
        <v>38883</v>
      </c>
      <c r="B33">
        <v>1</v>
      </c>
      <c r="C33" s="40" t="s">
        <v>6327</v>
      </c>
      <c r="D33" s="40" t="s">
        <v>6328</v>
      </c>
      <c r="E33" s="40" t="s">
        <v>6329</v>
      </c>
      <c r="F33" s="40" t="s">
        <v>6330</v>
      </c>
      <c r="G33">
        <v>2005</v>
      </c>
      <c r="H33">
        <v>1702</v>
      </c>
      <c r="I33" s="40" t="s">
        <v>1005</v>
      </c>
      <c r="J33" s="40" t="s">
        <v>6331</v>
      </c>
      <c r="K33" s="40" t="s">
        <v>6332</v>
      </c>
      <c r="L33" s="39">
        <v>38797</v>
      </c>
      <c r="M33">
        <v>6</v>
      </c>
      <c r="N33">
        <v>3</v>
      </c>
      <c r="O33">
        <v>111</v>
      </c>
      <c r="P33" s="40" t="s">
        <v>1008</v>
      </c>
      <c r="Q33">
        <v>2</v>
      </c>
      <c r="R33">
        <v>1</v>
      </c>
      <c r="S33">
        <v>1</v>
      </c>
    </row>
    <row r="34" spans="1:19">
      <c r="A34" s="39">
        <v>38883</v>
      </c>
      <c r="B34">
        <v>1</v>
      </c>
      <c r="C34" s="40" t="s">
        <v>6333</v>
      </c>
      <c r="D34" s="40" t="s">
        <v>6334</v>
      </c>
      <c r="E34" s="40" t="s">
        <v>6335</v>
      </c>
      <c r="F34" s="40" t="s">
        <v>6336</v>
      </c>
      <c r="G34">
        <v>2005</v>
      </c>
      <c r="H34">
        <v>1702</v>
      </c>
      <c r="I34" s="40" t="s">
        <v>1005</v>
      </c>
      <c r="J34" s="40" t="s">
        <v>6337</v>
      </c>
      <c r="K34" s="40" t="s">
        <v>6338</v>
      </c>
      <c r="L34" s="39">
        <v>38832</v>
      </c>
      <c r="M34">
        <v>5</v>
      </c>
      <c r="N34">
        <v>4</v>
      </c>
      <c r="O34">
        <v>111</v>
      </c>
      <c r="P34" s="40" t="s">
        <v>1008</v>
      </c>
      <c r="Q34">
        <v>2</v>
      </c>
      <c r="R34">
        <v>1</v>
      </c>
      <c r="S34">
        <v>1</v>
      </c>
    </row>
    <row r="35" spans="1:19">
      <c r="A35" s="39">
        <v>38887</v>
      </c>
      <c r="B35">
        <v>1</v>
      </c>
      <c r="C35" s="40" t="s">
        <v>6339</v>
      </c>
      <c r="D35" s="40" t="s">
        <v>6340</v>
      </c>
      <c r="E35" s="40" t="s">
        <v>6341</v>
      </c>
      <c r="F35" s="40" t="s">
        <v>6342</v>
      </c>
      <c r="G35">
        <v>2005</v>
      </c>
      <c r="H35">
        <v>1702</v>
      </c>
      <c r="I35" s="40" t="s">
        <v>1005</v>
      </c>
      <c r="J35" s="40" t="s">
        <v>6343</v>
      </c>
      <c r="K35" s="40" t="s">
        <v>6344</v>
      </c>
      <c r="L35" s="39">
        <v>38796</v>
      </c>
      <c r="M35">
        <v>9</v>
      </c>
      <c r="N35">
        <v>0</v>
      </c>
      <c r="O35">
        <v>111</v>
      </c>
      <c r="P35" s="40" t="s">
        <v>1008</v>
      </c>
      <c r="Q35">
        <v>1</v>
      </c>
      <c r="R35">
        <v>1</v>
      </c>
      <c r="S35">
        <v>2</v>
      </c>
    </row>
    <row r="36" spans="1:19">
      <c r="A36" s="39">
        <v>38887</v>
      </c>
      <c r="B36">
        <v>1</v>
      </c>
      <c r="C36" s="40" t="s">
        <v>6345</v>
      </c>
      <c r="D36" s="40" t="s">
        <v>6346</v>
      </c>
      <c r="E36" s="40" t="s">
        <v>6347</v>
      </c>
      <c r="F36" s="40" t="s">
        <v>6348</v>
      </c>
      <c r="G36">
        <v>2005</v>
      </c>
      <c r="H36">
        <v>1702</v>
      </c>
      <c r="I36" s="40" t="s">
        <v>1005</v>
      </c>
      <c r="J36" s="40" t="s">
        <v>6349</v>
      </c>
      <c r="K36" s="40" t="s">
        <v>6350</v>
      </c>
      <c r="L36" s="39">
        <v>38770</v>
      </c>
      <c r="M36">
        <v>6</v>
      </c>
      <c r="N36">
        <v>3</v>
      </c>
      <c r="O36">
        <v>111</v>
      </c>
      <c r="P36" s="40" t="s">
        <v>1008</v>
      </c>
      <c r="Q36">
        <v>1</v>
      </c>
      <c r="R36">
        <v>1</v>
      </c>
      <c r="S36">
        <v>2</v>
      </c>
    </row>
    <row r="37" spans="1:19">
      <c r="A37" s="39">
        <v>38890</v>
      </c>
      <c r="B37">
        <v>1</v>
      </c>
      <c r="C37" s="40" t="s">
        <v>6351</v>
      </c>
      <c r="D37" s="40" t="s">
        <v>6352</v>
      </c>
      <c r="E37" s="40" t="s">
        <v>6353</v>
      </c>
      <c r="F37" s="40" t="s">
        <v>6354</v>
      </c>
      <c r="G37">
        <v>2005</v>
      </c>
      <c r="H37">
        <v>1702</v>
      </c>
      <c r="I37" s="40" t="s">
        <v>1005</v>
      </c>
      <c r="J37" s="40" t="s">
        <v>6355</v>
      </c>
      <c r="K37" s="40" t="s">
        <v>6356</v>
      </c>
      <c r="L37" s="39">
        <v>38798</v>
      </c>
      <c r="M37">
        <v>8</v>
      </c>
      <c r="N37">
        <v>1</v>
      </c>
      <c r="O37">
        <v>111</v>
      </c>
      <c r="P37" s="40" t="s">
        <v>1008</v>
      </c>
      <c r="Q37">
        <v>1</v>
      </c>
      <c r="R37">
        <v>1</v>
      </c>
      <c r="S37">
        <v>2</v>
      </c>
    </row>
    <row r="38" spans="1:19">
      <c r="A38" s="39">
        <v>38894</v>
      </c>
      <c r="B38">
        <v>1</v>
      </c>
      <c r="C38" s="40" t="s">
        <v>6357</v>
      </c>
      <c r="D38" s="40" t="s">
        <v>6358</v>
      </c>
      <c r="E38" s="40" t="s">
        <v>6359</v>
      </c>
      <c r="F38" s="40" t="s">
        <v>6360</v>
      </c>
      <c r="G38">
        <v>2005</v>
      </c>
      <c r="H38">
        <v>1702</v>
      </c>
      <c r="I38" s="40" t="s">
        <v>1005</v>
      </c>
      <c r="J38" s="40" t="s">
        <v>6361</v>
      </c>
      <c r="K38" s="40" t="s">
        <v>6362</v>
      </c>
      <c r="L38" s="39">
        <v>38693</v>
      </c>
      <c r="M38">
        <v>5</v>
      </c>
      <c r="N38">
        <v>4</v>
      </c>
      <c r="O38">
        <v>111</v>
      </c>
      <c r="P38" s="40" t="s">
        <v>1008</v>
      </c>
      <c r="Q38">
        <v>1</v>
      </c>
      <c r="R38">
        <v>1</v>
      </c>
      <c r="S38">
        <v>2</v>
      </c>
    </row>
    <row r="39" spans="1:19">
      <c r="A39" s="39">
        <v>38894</v>
      </c>
      <c r="B39">
        <v>1</v>
      </c>
      <c r="C39" s="40" t="s">
        <v>6363</v>
      </c>
      <c r="D39" s="40" t="s">
        <v>6364</v>
      </c>
      <c r="E39" s="40" t="s">
        <v>6365</v>
      </c>
      <c r="F39" s="40" t="s">
        <v>6366</v>
      </c>
      <c r="G39">
        <v>2005</v>
      </c>
      <c r="H39">
        <v>1702</v>
      </c>
      <c r="I39" s="40" t="s">
        <v>1005</v>
      </c>
      <c r="J39" s="40" t="s">
        <v>6367</v>
      </c>
      <c r="K39" s="40" t="s">
        <v>6368</v>
      </c>
      <c r="L39" s="39">
        <v>38824</v>
      </c>
      <c r="M39">
        <v>7</v>
      </c>
      <c r="N39">
        <v>2</v>
      </c>
      <c r="O39">
        <v>111</v>
      </c>
      <c r="P39" s="40" t="s">
        <v>1008</v>
      </c>
      <c r="Q39">
        <v>1</v>
      </c>
      <c r="R39">
        <v>1</v>
      </c>
      <c r="S39">
        <v>2</v>
      </c>
    </row>
    <row r="40" spans="1:19">
      <c r="A40" s="39">
        <v>38894</v>
      </c>
      <c r="B40">
        <v>1</v>
      </c>
      <c r="C40" s="40" t="s">
        <v>6369</v>
      </c>
      <c r="D40" s="40" t="s">
        <v>6370</v>
      </c>
      <c r="E40" s="40" t="s">
        <v>6371</v>
      </c>
      <c r="F40" s="40" t="s">
        <v>6372</v>
      </c>
      <c r="G40">
        <v>2005</v>
      </c>
      <c r="H40">
        <v>1702</v>
      </c>
      <c r="I40" s="40" t="s">
        <v>1005</v>
      </c>
      <c r="J40" s="40" t="s">
        <v>6373</v>
      </c>
      <c r="K40" s="40" t="s">
        <v>6374</v>
      </c>
      <c r="L40" s="39">
        <v>38826</v>
      </c>
      <c r="M40">
        <v>6</v>
      </c>
      <c r="N40">
        <v>3</v>
      </c>
      <c r="O40">
        <v>111</v>
      </c>
      <c r="P40" s="40" t="s">
        <v>1008</v>
      </c>
      <c r="Q40">
        <v>1</v>
      </c>
      <c r="R40">
        <v>1</v>
      </c>
      <c r="S40">
        <v>2</v>
      </c>
    </row>
    <row r="41" spans="1:19">
      <c r="A41" s="39">
        <v>38896</v>
      </c>
      <c r="B41">
        <v>1</v>
      </c>
      <c r="C41" s="40" t="s">
        <v>6375</v>
      </c>
      <c r="D41" s="40" t="s">
        <v>6376</v>
      </c>
      <c r="E41" s="40" t="s">
        <v>6377</v>
      </c>
      <c r="F41" s="40" t="s">
        <v>6378</v>
      </c>
      <c r="G41">
        <v>2005</v>
      </c>
      <c r="H41">
        <v>1702</v>
      </c>
      <c r="I41" s="40" t="s">
        <v>1005</v>
      </c>
      <c r="J41" s="40" t="s">
        <v>6379</v>
      </c>
      <c r="K41" s="40" t="s">
        <v>6380</v>
      </c>
      <c r="L41" s="39">
        <v>38805</v>
      </c>
      <c r="M41">
        <v>6</v>
      </c>
      <c r="N41">
        <v>3</v>
      </c>
      <c r="O41">
        <v>111</v>
      </c>
      <c r="P41" s="40" t="s">
        <v>1008</v>
      </c>
      <c r="Q41">
        <v>1</v>
      </c>
      <c r="R41">
        <v>1</v>
      </c>
      <c r="S41">
        <v>2</v>
      </c>
    </row>
    <row r="42" spans="1:19">
      <c r="A42" s="39">
        <v>38897</v>
      </c>
      <c r="B42">
        <v>1</v>
      </c>
      <c r="C42" s="40" t="s">
        <v>6381</v>
      </c>
      <c r="D42" s="40" t="s">
        <v>6382</v>
      </c>
      <c r="E42" s="40" t="s">
        <v>6383</v>
      </c>
      <c r="F42" s="40" t="s">
        <v>6384</v>
      </c>
      <c r="G42">
        <v>2005</v>
      </c>
      <c r="H42">
        <v>1702</v>
      </c>
      <c r="I42" s="40" t="s">
        <v>1005</v>
      </c>
      <c r="J42" s="40" t="s">
        <v>6385</v>
      </c>
      <c r="K42" s="40" t="s">
        <v>6386</v>
      </c>
      <c r="L42" s="39">
        <v>38826</v>
      </c>
      <c r="M42">
        <v>5</v>
      </c>
      <c r="N42">
        <v>4</v>
      </c>
      <c r="O42">
        <v>111</v>
      </c>
      <c r="P42" s="40" t="s">
        <v>1008</v>
      </c>
      <c r="Q42">
        <v>1</v>
      </c>
      <c r="R42">
        <v>1</v>
      </c>
      <c r="S42">
        <v>2</v>
      </c>
    </row>
    <row r="43" spans="1:19">
      <c r="A43" s="39">
        <v>38887</v>
      </c>
      <c r="B43">
        <v>7</v>
      </c>
      <c r="C43" s="40" t="s">
        <v>6387</v>
      </c>
      <c r="D43" s="40" t="s">
        <v>6388</v>
      </c>
      <c r="E43" s="40" t="s">
        <v>6389</v>
      </c>
      <c r="F43" s="40" t="s">
        <v>6390</v>
      </c>
      <c r="G43">
        <v>2005</v>
      </c>
      <c r="H43">
        <v>1702</v>
      </c>
      <c r="I43" s="40" t="s">
        <v>1005</v>
      </c>
      <c r="J43" s="40" t="s">
        <v>6391</v>
      </c>
      <c r="K43" s="40" t="s">
        <v>6392</v>
      </c>
      <c r="L43" s="39">
        <v>38769</v>
      </c>
      <c r="M43">
        <v>5</v>
      </c>
      <c r="N43">
        <v>4</v>
      </c>
      <c r="O43">
        <v>111</v>
      </c>
      <c r="P43" s="40" t="s">
        <v>1008</v>
      </c>
      <c r="Q43">
        <v>1</v>
      </c>
      <c r="R43">
        <v>1</v>
      </c>
      <c r="S43">
        <v>2</v>
      </c>
    </row>
    <row r="44" spans="1:19">
      <c r="A44" s="39">
        <v>38896</v>
      </c>
      <c r="B44">
        <v>7</v>
      </c>
      <c r="C44" s="40" t="s">
        <v>6393</v>
      </c>
      <c r="D44" s="40" t="s">
        <v>6394</v>
      </c>
      <c r="E44" s="40" t="s">
        <v>6395</v>
      </c>
      <c r="F44" s="40" t="s">
        <v>6396</v>
      </c>
      <c r="G44">
        <v>2005</v>
      </c>
      <c r="H44">
        <v>1702</v>
      </c>
      <c r="I44" s="40" t="s">
        <v>1005</v>
      </c>
      <c r="J44" s="40" t="s">
        <v>6397</v>
      </c>
      <c r="K44" s="40" t="s">
        <v>6398</v>
      </c>
      <c r="L44" s="39">
        <v>38777</v>
      </c>
      <c r="M44">
        <v>5</v>
      </c>
      <c r="N44">
        <v>4</v>
      </c>
      <c r="O44">
        <v>111</v>
      </c>
      <c r="P44" s="40" t="s">
        <v>1008</v>
      </c>
      <c r="Q44">
        <v>2</v>
      </c>
      <c r="R44">
        <v>1</v>
      </c>
      <c r="S44">
        <v>1</v>
      </c>
    </row>
    <row r="45" spans="1:19">
      <c r="A45" s="39"/>
      <c r="C45" s="40"/>
      <c r="D45" s="40"/>
      <c r="E45" s="40"/>
      <c r="F45" s="40"/>
      <c r="I45" s="40"/>
      <c r="J45" s="40"/>
      <c r="K45" s="40"/>
      <c r="L45" s="39"/>
      <c r="P45" s="40"/>
    </row>
    <row r="46" spans="1:19">
      <c r="A46" s="39"/>
      <c r="C46" s="40"/>
      <c r="D46" s="40"/>
      <c r="E46" s="40"/>
      <c r="F46" s="40"/>
      <c r="I46" s="40"/>
      <c r="J46" s="40"/>
      <c r="K46" s="40"/>
      <c r="L46" s="39"/>
      <c r="P46" s="40"/>
    </row>
    <row r="47" spans="1:19">
      <c r="A47" s="39">
        <v>38769</v>
      </c>
      <c r="B47">
        <v>2</v>
      </c>
      <c r="C47" s="40" t="s">
        <v>6399</v>
      </c>
      <c r="D47" s="40" t="s">
        <v>6400</v>
      </c>
      <c r="E47" s="40" t="s">
        <v>6401</v>
      </c>
      <c r="F47" s="40" t="s">
        <v>6402</v>
      </c>
      <c r="G47">
        <v>2005</v>
      </c>
      <c r="H47">
        <v>1702</v>
      </c>
      <c r="I47" s="40" t="s">
        <v>1005</v>
      </c>
      <c r="J47" s="40" t="s">
        <v>6403</v>
      </c>
      <c r="K47" s="40" t="s">
        <v>3125</v>
      </c>
      <c r="M47">
        <v>9</v>
      </c>
      <c r="N47">
        <v>0</v>
      </c>
      <c r="O47">
        <v>111</v>
      </c>
      <c r="P47" s="40" t="s">
        <v>1008</v>
      </c>
      <c r="Q47">
        <v>1</v>
      </c>
      <c r="R47">
        <v>1</v>
      </c>
      <c r="S47">
        <v>2</v>
      </c>
    </row>
    <row r="48" spans="1:19">
      <c r="A48" s="39">
        <v>38769</v>
      </c>
      <c r="B48">
        <v>2</v>
      </c>
      <c r="C48" s="40" t="s">
        <v>6404</v>
      </c>
      <c r="D48" s="40" t="s">
        <v>6405</v>
      </c>
      <c r="E48" s="40" t="s">
        <v>6406</v>
      </c>
      <c r="F48" s="40" t="s">
        <v>6407</v>
      </c>
      <c r="G48">
        <v>2005</v>
      </c>
      <c r="H48">
        <v>1702</v>
      </c>
      <c r="I48" s="40" t="s">
        <v>1005</v>
      </c>
      <c r="J48" s="40" t="s">
        <v>6408</v>
      </c>
      <c r="K48" s="40" t="s">
        <v>6409</v>
      </c>
      <c r="M48">
        <v>9</v>
      </c>
      <c r="N48">
        <v>0</v>
      </c>
      <c r="O48">
        <v>111</v>
      </c>
      <c r="P48" s="40" t="s">
        <v>1008</v>
      </c>
      <c r="Q48">
        <v>1</v>
      </c>
      <c r="R48">
        <v>1</v>
      </c>
      <c r="S48">
        <v>2</v>
      </c>
    </row>
    <row r="49" spans="1:19">
      <c r="A49" s="39">
        <v>38769</v>
      </c>
      <c r="B49">
        <v>2</v>
      </c>
      <c r="C49" s="40" t="s">
        <v>6410</v>
      </c>
      <c r="D49" s="40" t="s">
        <v>6411</v>
      </c>
      <c r="E49" s="40" t="s">
        <v>6412</v>
      </c>
      <c r="F49" s="40" t="s">
        <v>6413</v>
      </c>
      <c r="G49">
        <v>2005</v>
      </c>
      <c r="H49">
        <v>1702</v>
      </c>
      <c r="I49" s="40" t="s">
        <v>1005</v>
      </c>
      <c r="J49" s="40" t="s">
        <v>6414</v>
      </c>
      <c r="K49" s="40" t="s">
        <v>6415</v>
      </c>
      <c r="M49">
        <v>9</v>
      </c>
      <c r="N49">
        <v>0</v>
      </c>
      <c r="O49">
        <v>111</v>
      </c>
      <c r="P49" s="40" t="s">
        <v>1008</v>
      </c>
      <c r="Q49">
        <v>1</v>
      </c>
      <c r="R49">
        <v>1</v>
      </c>
      <c r="S49">
        <v>2</v>
      </c>
    </row>
    <row r="50" spans="1:19">
      <c r="A50" s="39">
        <v>38824</v>
      </c>
      <c r="B50">
        <v>2</v>
      </c>
      <c r="C50" s="40" t="s">
        <v>6416</v>
      </c>
      <c r="D50" s="40" t="s">
        <v>6417</v>
      </c>
      <c r="E50" s="40" t="s">
        <v>6418</v>
      </c>
      <c r="F50" s="40" t="s">
        <v>6419</v>
      </c>
      <c r="G50">
        <v>2005</v>
      </c>
      <c r="H50">
        <v>1702</v>
      </c>
      <c r="I50" s="40" t="s">
        <v>1005</v>
      </c>
      <c r="J50" s="40" t="s">
        <v>6420</v>
      </c>
      <c r="K50" s="40" t="s">
        <v>6421</v>
      </c>
      <c r="M50">
        <v>9</v>
      </c>
      <c r="N50">
        <v>0</v>
      </c>
      <c r="O50">
        <v>111</v>
      </c>
      <c r="P50" s="40" t="s">
        <v>1008</v>
      </c>
      <c r="Q50">
        <v>1</v>
      </c>
      <c r="R50">
        <v>1</v>
      </c>
      <c r="S50">
        <v>2</v>
      </c>
    </row>
    <row r="51" spans="1:19">
      <c r="A51" s="39">
        <v>38831</v>
      </c>
      <c r="B51">
        <v>2</v>
      </c>
      <c r="C51" s="40" t="s">
        <v>6422</v>
      </c>
      <c r="D51" s="40" t="s">
        <v>6250</v>
      </c>
      <c r="E51" s="40" t="s">
        <v>6423</v>
      </c>
      <c r="F51" s="40" t="s">
        <v>6424</v>
      </c>
      <c r="G51">
        <v>2005</v>
      </c>
      <c r="H51">
        <v>1702</v>
      </c>
      <c r="I51" s="40" t="s">
        <v>1005</v>
      </c>
      <c r="J51" s="40" t="s">
        <v>6425</v>
      </c>
      <c r="K51" s="40" t="s">
        <v>6426</v>
      </c>
      <c r="M51">
        <v>9</v>
      </c>
      <c r="N51">
        <v>0</v>
      </c>
      <c r="O51">
        <v>111</v>
      </c>
      <c r="P51" s="40" t="s">
        <v>1008</v>
      </c>
      <c r="Q51">
        <v>1</v>
      </c>
      <c r="R51">
        <v>1</v>
      </c>
      <c r="S51">
        <v>2</v>
      </c>
    </row>
    <row r="52" spans="1:19">
      <c r="A52" s="39">
        <v>38887</v>
      </c>
      <c r="B52">
        <v>2</v>
      </c>
      <c r="C52" s="40" t="s">
        <v>6427</v>
      </c>
      <c r="D52" s="40" t="s">
        <v>6428</v>
      </c>
      <c r="E52" s="40" t="s">
        <v>6429</v>
      </c>
      <c r="F52" s="40" t="s">
        <v>6430</v>
      </c>
      <c r="G52">
        <v>2005</v>
      </c>
      <c r="H52">
        <v>1702</v>
      </c>
      <c r="I52" s="40" t="s">
        <v>1005</v>
      </c>
      <c r="J52" s="40" t="s">
        <v>6431</v>
      </c>
      <c r="K52" s="40" t="s">
        <v>6432</v>
      </c>
      <c r="M52">
        <v>6</v>
      </c>
      <c r="N52">
        <v>3</v>
      </c>
      <c r="O52">
        <v>111</v>
      </c>
      <c r="P52" s="40" t="s">
        <v>1008</v>
      </c>
      <c r="Q52">
        <v>1</v>
      </c>
      <c r="R52">
        <v>1</v>
      </c>
      <c r="S52">
        <v>2</v>
      </c>
    </row>
    <row r="53" spans="1:19">
      <c r="A53" s="39">
        <v>38803</v>
      </c>
      <c r="B53">
        <v>4</v>
      </c>
      <c r="C53" s="40" t="s">
        <v>6433</v>
      </c>
      <c r="D53" s="40" t="s">
        <v>6434</v>
      </c>
      <c r="E53" s="40" t="s">
        <v>6435</v>
      </c>
      <c r="F53" s="40" t="s">
        <v>6436</v>
      </c>
      <c r="G53">
        <v>2005</v>
      </c>
      <c r="H53">
        <v>1702</v>
      </c>
      <c r="I53" s="40" t="s">
        <v>1005</v>
      </c>
      <c r="J53" s="40" t="s">
        <v>6437</v>
      </c>
      <c r="K53" s="40" t="s">
        <v>6438</v>
      </c>
      <c r="M53">
        <v>9</v>
      </c>
      <c r="N53">
        <v>0</v>
      </c>
      <c r="O53">
        <v>111</v>
      </c>
      <c r="P53" s="40" t="s">
        <v>1008</v>
      </c>
      <c r="Q53">
        <v>1</v>
      </c>
      <c r="R53">
        <v>1</v>
      </c>
      <c r="S53">
        <v>2</v>
      </c>
    </row>
    <row r="54" spans="1:19">
      <c r="A54" s="39">
        <v>38873</v>
      </c>
      <c r="B54">
        <v>6</v>
      </c>
      <c r="C54" s="40" t="s">
        <v>6439</v>
      </c>
      <c r="D54" s="40" t="s">
        <v>6440</v>
      </c>
      <c r="E54" s="40" t="s">
        <v>6441</v>
      </c>
      <c r="F54" s="40" t="s">
        <v>6442</v>
      </c>
      <c r="G54">
        <v>2005</v>
      </c>
      <c r="H54">
        <v>1702</v>
      </c>
      <c r="I54" s="40" t="s">
        <v>1005</v>
      </c>
      <c r="J54" s="40" t="s">
        <v>6443</v>
      </c>
      <c r="K54" s="40" t="s">
        <v>6444</v>
      </c>
      <c r="L54" s="39">
        <v>38833</v>
      </c>
      <c r="M54">
        <v>9</v>
      </c>
      <c r="N54">
        <v>0</v>
      </c>
      <c r="O54">
        <v>111</v>
      </c>
      <c r="P54" s="40" t="s">
        <v>1008</v>
      </c>
      <c r="Q54">
        <v>1</v>
      </c>
      <c r="R54">
        <v>1</v>
      </c>
      <c r="S54">
        <v>2</v>
      </c>
    </row>
    <row r="55" spans="1:19">
      <c r="A55" s="39">
        <v>38890</v>
      </c>
      <c r="B55">
        <v>6</v>
      </c>
      <c r="C55" s="40" t="s">
        <v>6445</v>
      </c>
      <c r="D55" s="40" t="s">
        <v>6446</v>
      </c>
      <c r="E55" s="40" t="s">
        <v>6447</v>
      </c>
      <c r="F55" s="40" t="s">
        <v>6448</v>
      </c>
      <c r="G55">
        <v>2005</v>
      </c>
      <c r="H55">
        <v>1702</v>
      </c>
      <c r="I55" s="40" t="s">
        <v>1005</v>
      </c>
      <c r="J55" s="40" t="s">
        <v>6449</v>
      </c>
      <c r="K55" s="40" t="s">
        <v>6450</v>
      </c>
      <c r="L55" s="39">
        <v>38797</v>
      </c>
      <c r="M55">
        <v>5</v>
      </c>
      <c r="N55">
        <v>3</v>
      </c>
      <c r="O55">
        <v>111</v>
      </c>
      <c r="P55" s="40" t="s">
        <v>1008</v>
      </c>
      <c r="Q55">
        <v>1</v>
      </c>
      <c r="R55">
        <v>1</v>
      </c>
      <c r="S55">
        <v>2</v>
      </c>
    </row>
    <row r="58" spans="1:19" ht="98">
      <c r="A58" s="97">
        <v>93</v>
      </c>
      <c r="B58" s="83" t="s">
        <v>5236</v>
      </c>
      <c r="C58" s="100" t="s">
        <v>5237</v>
      </c>
      <c r="D58" s="86" t="s">
        <v>5235</v>
      </c>
      <c r="E58" s="86"/>
      <c r="F58" s="86" t="s">
        <v>49</v>
      </c>
      <c r="G58" s="86"/>
      <c r="H58" s="86"/>
      <c r="I58" s="86"/>
      <c r="J58" s="98"/>
    </row>
    <row r="59" spans="1:19">
      <c r="C59" s="42" t="s">
        <v>6191</v>
      </c>
      <c r="D59" s="42">
        <f>COUNTA(D58:D58)</f>
        <v>1</v>
      </c>
    </row>
    <row r="62" spans="1:19">
      <c r="A62" s="86" t="s">
        <v>35</v>
      </c>
      <c r="B62" s="84" t="s">
        <v>36</v>
      </c>
      <c r="C62" s="84" t="s">
        <v>37</v>
      </c>
      <c r="D62" s="86" t="s">
        <v>38</v>
      </c>
      <c r="E62" s="86" t="s">
        <v>39</v>
      </c>
      <c r="F62" s="86" t="s">
        <v>40</v>
      </c>
      <c r="G62" s="86" t="s">
        <v>41</v>
      </c>
      <c r="H62" s="86" t="s">
        <v>42</v>
      </c>
      <c r="I62" s="86" t="s">
        <v>1466</v>
      </c>
      <c r="J62" s="98" t="s">
        <v>44</v>
      </c>
    </row>
    <row r="63" spans="1:19" ht="56">
      <c r="A63" s="97">
        <v>159</v>
      </c>
      <c r="B63" s="83" t="s">
        <v>5238</v>
      </c>
      <c r="C63" s="84" t="s">
        <v>5239</v>
      </c>
      <c r="D63" s="86"/>
      <c r="E63" s="86" t="s">
        <v>4626</v>
      </c>
      <c r="F63" s="86" t="s">
        <v>78</v>
      </c>
      <c r="G63" s="86" t="s">
        <v>79</v>
      </c>
      <c r="H63" s="86" t="s">
        <v>100</v>
      </c>
      <c r="I63" s="86" t="s">
        <v>49</v>
      </c>
      <c r="J63" s="98"/>
    </row>
    <row r="64" spans="1:19" ht="56">
      <c r="A64" s="97">
        <v>160</v>
      </c>
      <c r="B64" s="83" t="s">
        <v>5240</v>
      </c>
      <c r="C64" s="84" t="s">
        <v>5241</v>
      </c>
      <c r="D64" s="86"/>
      <c r="E64" s="86" t="s">
        <v>4626</v>
      </c>
      <c r="F64" s="86" t="s">
        <v>78</v>
      </c>
      <c r="G64" s="86" t="s">
        <v>167</v>
      </c>
      <c r="H64" s="86" t="s">
        <v>5054</v>
      </c>
      <c r="I64" s="86" t="s">
        <v>49</v>
      </c>
      <c r="J64" s="98"/>
    </row>
    <row r="65" spans="1:10" ht="70">
      <c r="A65" s="97">
        <v>161</v>
      </c>
      <c r="B65" s="83" t="s">
        <v>5242</v>
      </c>
      <c r="C65" s="84" t="s">
        <v>5243</v>
      </c>
      <c r="D65" s="86"/>
      <c r="E65" s="86"/>
      <c r="F65" s="86" t="s">
        <v>78</v>
      </c>
      <c r="G65" s="86" t="s">
        <v>79</v>
      </c>
      <c r="H65" s="86" t="s">
        <v>47</v>
      </c>
      <c r="I65" s="86" t="s">
        <v>49</v>
      </c>
      <c r="J65" s="98"/>
    </row>
    <row r="66" spans="1:10" ht="70">
      <c r="A66" s="97">
        <v>163</v>
      </c>
      <c r="B66" s="83" t="s">
        <v>5244</v>
      </c>
      <c r="C66" s="84" t="s">
        <v>5245</v>
      </c>
      <c r="D66" s="86"/>
      <c r="E66" s="86"/>
      <c r="F66" s="86" t="s">
        <v>78</v>
      </c>
      <c r="G66" s="86" t="s">
        <v>79</v>
      </c>
      <c r="H66" s="86" t="s">
        <v>47</v>
      </c>
      <c r="I66" s="86" t="s">
        <v>49</v>
      </c>
      <c r="J66" s="98"/>
    </row>
    <row r="67" spans="1:10" ht="70">
      <c r="A67" s="97">
        <v>164</v>
      </c>
      <c r="B67" s="83" t="s">
        <v>5246</v>
      </c>
      <c r="C67" s="84" t="s">
        <v>5247</v>
      </c>
      <c r="D67" s="86"/>
      <c r="E67" s="86"/>
      <c r="F67" s="86" t="s">
        <v>78</v>
      </c>
      <c r="G67" s="86" t="s">
        <v>79</v>
      </c>
      <c r="H67" s="86" t="s">
        <v>100</v>
      </c>
      <c r="I67" s="86" t="s">
        <v>49</v>
      </c>
      <c r="J67" s="98"/>
    </row>
    <row r="68" spans="1:10" ht="56">
      <c r="A68" s="97">
        <v>165</v>
      </c>
      <c r="B68" s="83" t="s">
        <v>5248</v>
      </c>
      <c r="C68" s="84" t="s">
        <v>5249</v>
      </c>
      <c r="D68" s="86"/>
      <c r="E68" s="86"/>
      <c r="F68" s="86" t="s">
        <v>78</v>
      </c>
      <c r="G68" s="86" t="s">
        <v>79</v>
      </c>
      <c r="H68" s="86" t="s">
        <v>47</v>
      </c>
      <c r="I68" s="86" t="s">
        <v>49</v>
      </c>
      <c r="J68" s="98"/>
    </row>
    <row r="69" spans="1:10" ht="42">
      <c r="A69" s="97">
        <v>166</v>
      </c>
      <c r="B69" s="83" t="s">
        <v>5250</v>
      </c>
      <c r="C69" s="84" t="s">
        <v>5251</v>
      </c>
      <c r="D69" s="86"/>
      <c r="E69" s="86"/>
      <c r="F69" s="86" t="s">
        <v>78</v>
      </c>
      <c r="G69" s="86" t="s">
        <v>167</v>
      </c>
      <c r="H69" s="86" t="s">
        <v>100</v>
      </c>
      <c r="I69" s="86" t="s">
        <v>49</v>
      </c>
      <c r="J69" s="98"/>
    </row>
    <row r="70" spans="1:10" ht="126">
      <c r="A70" s="97">
        <v>168</v>
      </c>
      <c r="B70" s="83" t="s">
        <v>5252</v>
      </c>
      <c r="C70" s="84" t="s">
        <v>5253</v>
      </c>
      <c r="D70" s="86"/>
      <c r="E70" s="86"/>
      <c r="F70" s="86" t="s">
        <v>78</v>
      </c>
      <c r="G70" s="86" t="s">
        <v>79</v>
      </c>
      <c r="H70" s="86" t="s">
        <v>47</v>
      </c>
      <c r="I70" s="86" t="s">
        <v>49</v>
      </c>
      <c r="J70" s="98"/>
    </row>
    <row r="71" spans="1:10" ht="70">
      <c r="A71" s="97">
        <v>170</v>
      </c>
      <c r="B71" s="83" t="s">
        <v>5254</v>
      </c>
      <c r="C71" s="84" t="s">
        <v>5255</v>
      </c>
      <c r="D71" s="86"/>
      <c r="E71" s="86"/>
      <c r="F71" s="86" t="s">
        <v>78</v>
      </c>
      <c r="G71" s="86" t="s">
        <v>79</v>
      </c>
      <c r="H71" s="86" t="s">
        <v>47</v>
      </c>
      <c r="I71" s="86" t="s">
        <v>49</v>
      </c>
      <c r="J71" s="98"/>
    </row>
    <row r="72" spans="1:10" ht="112">
      <c r="A72" s="97">
        <v>171</v>
      </c>
      <c r="B72" s="83" t="s">
        <v>5256</v>
      </c>
      <c r="C72" s="84" t="s">
        <v>5257</v>
      </c>
      <c r="D72" s="86"/>
      <c r="E72" s="86"/>
      <c r="F72" s="86" t="s">
        <v>78</v>
      </c>
      <c r="G72" s="86" t="s">
        <v>167</v>
      </c>
      <c r="H72" s="86" t="s">
        <v>79</v>
      </c>
      <c r="I72" s="86" t="s">
        <v>49</v>
      </c>
      <c r="J72" s="98"/>
    </row>
    <row r="73" spans="1:10" ht="56">
      <c r="A73" s="97">
        <v>172</v>
      </c>
      <c r="B73" s="83" t="s">
        <v>5258</v>
      </c>
      <c r="C73" s="84" t="s">
        <v>5259</v>
      </c>
      <c r="D73" s="86"/>
      <c r="E73" s="86"/>
      <c r="F73" s="86" t="s">
        <v>78</v>
      </c>
      <c r="G73" s="86" t="s">
        <v>79</v>
      </c>
      <c r="H73" s="86" t="s">
        <v>47</v>
      </c>
      <c r="I73" s="86" t="s">
        <v>49</v>
      </c>
      <c r="J73" s="98"/>
    </row>
    <row r="74" spans="1:10" ht="42">
      <c r="A74" s="97">
        <v>173</v>
      </c>
      <c r="B74" s="83" t="s">
        <v>5260</v>
      </c>
      <c r="C74" s="84" t="s">
        <v>5261</v>
      </c>
      <c r="D74" s="86"/>
      <c r="E74" s="86"/>
      <c r="F74" s="86" t="s">
        <v>78</v>
      </c>
      <c r="G74" s="86" t="s">
        <v>79</v>
      </c>
      <c r="H74" s="86" t="s">
        <v>79</v>
      </c>
      <c r="I74" s="86" t="s">
        <v>49</v>
      </c>
      <c r="J74" s="98"/>
    </row>
    <row r="75" spans="1:10" ht="56">
      <c r="A75" s="97">
        <v>174</v>
      </c>
      <c r="B75" s="83" t="s">
        <v>5262</v>
      </c>
      <c r="C75" s="84" t="s">
        <v>5263</v>
      </c>
      <c r="D75" s="86"/>
      <c r="E75" s="86"/>
      <c r="F75" s="86" t="s">
        <v>78</v>
      </c>
      <c r="G75" s="86" t="s">
        <v>79</v>
      </c>
      <c r="H75" s="86" t="s">
        <v>47</v>
      </c>
      <c r="I75" s="86" t="s">
        <v>49</v>
      </c>
      <c r="J75" s="98"/>
    </row>
    <row r="76" spans="1:10" ht="70">
      <c r="A76" s="97">
        <v>175</v>
      </c>
      <c r="B76" s="83" t="s">
        <v>5264</v>
      </c>
      <c r="C76" s="84" t="s">
        <v>5265</v>
      </c>
      <c r="D76" s="86"/>
      <c r="E76" s="86"/>
      <c r="F76" s="86" t="s">
        <v>78</v>
      </c>
      <c r="G76" s="86" t="s">
        <v>79</v>
      </c>
      <c r="H76" s="86" t="s">
        <v>100</v>
      </c>
      <c r="I76" s="86" t="s">
        <v>49</v>
      </c>
      <c r="J76" s="98"/>
    </row>
    <row r="77" spans="1:10" ht="112">
      <c r="A77" s="97">
        <v>176</v>
      </c>
      <c r="B77" s="83" t="s">
        <v>5266</v>
      </c>
      <c r="C77" s="84" t="s">
        <v>5267</v>
      </c>
      <c r="D77" s="86"/>
      <c r="E77" s="86"/>
      <c r="F77" s="86" t="s">
        <v>78</v>
      </c>
      <c r="G77" s="86" t="s">
        <v>79</v>
      </c>
      <c r="H77" s="86" t="s">
        <v>47</v>
      </c>
      <c r="I77" s="86" t="s">
        <v>49</v>
      </c>
      <c r="J77" s="98"/>
    </row>
    <row r="78" spans="1:10" ht="42">
      <c r="A78" s="97">
        <v>177</v>
      </c>
      <c r="B78" s="83" t="s">
        <v>5268</v>
      </c>
      <c r="C78" s="84" t="s">
        <v>5269</v>
      </c>
      <c r="D78" s="86"/>
      <c r="E78" s="86"/>
      <c r="F78" s="86" t="s">
        <v>78</v>
      </c>
      <c r="G78" s="86" t="s">
        <v>79</v>
      </c>
      <c r="H78" s="86" t="s">
        <v>47</v>
      </c>
      <c r="I78" s="86" t="s">
        <v>49</v>
      </c>
      <c r="J78" s="98"/>
    </row>
    <row r="79" spans="1:10" ht="42">
      <c r="A79" s="97">
        <v>178</v>
      </c>
      <c r="B79" s="83" t="s">
        <v>5270</v>
      </c>
      <c r="C79" s="84" t="s">
        <v>5271</v>
      </c>
      <c r="D79" s="86"/>
      <c r="E79" s="86"/>
      <c r="F79" s="86" t="s">
        <v>78</v>
      </c>
      <c r="G79" s="86" t="s">
        <v>79</v>
      </c>
      <c r="H79" s="86" t="s">
        <v>47</v>
      </c>
      <c r="I79" s="86" t="s">
        <v>49</v>
      </c>
      <c r="J79" s="98"/>
    </row>
    <row r="80" spans="1:10" ht="56">
      <c r="A80" s="97">
        <v>179</v>
      </c>
      <c r="B80" s="83" t="s">
        <v>5272</v>
      </c>
      <c r="C80" s="84" t="s">
        <v>5273</v>
      </c>
      <c r="D80" s="86"/>
      <c r="E80" s="86"/>
      <c r="F80" s="86" t="s">
        <v>78</v>
      </c>
      <c r="G80" s="86" t="s">
        <v>167</v>
      </c>
      <c r="H80" s="86" t="s">
        <v>47</v>
      </c>
      <c r="I80" s="86" t="s">
        <v>49</v>
      </c>
      <c r="J80" s="98"/>
    </row>
    <row r="81" spans="1:10" ht="70">
      <c r="A81" s="97">
        <v>180</v>
      </c>
      <c r="B81" s="83" t="s">
        <v>5274</v>
      </c>
      <c r="C81" s="84" t="s">
        <v>5275</v>
      </c>
      <c r="D81" s="86"/>
      <c r="E81" s="86"/>
      <c r="F81" s="86" t="s">
        <v>78</v>
      </c>
      <c r="G81" s="86" t="s">
        <v>79</v>
      </c>
      <c r="H81" s="86" t="s">
        <v>47</v>
      </c>
      <c r="I81" s="86" t="s">
        <v>49</v>
      </c>
      <c r="J81" s="98"/>
    </row>
    <row r="82" spans="1:10" ht="42">
      <c r="A82" s="97">
        <v>181</v>
      </c>
      <c r="B82" s="83" t="s">
        <v>5276</v>
      </c>
      <c r="C82" s="84" t="s">
        <v>5277</v>
      </c>
      <c r="D82" s="86"/>
      <c r="E82" s="86"/>
      <c r="F82" s="86" t="s">
        <v>78</v>
      </c>
      <c r="G82" s="86" t="s">
        <v>79</v>
      </c>
      <c r="H82" s="86" t="s">
        <v>47</v>
      </c>
      <c r="I82" s="86" t="s">
        <v>49</v>
      </c>
      <c r="J82" s="98"/>
    </row>
    <row r="83" spans="1:10" ht="70">
      <c r="A83" s="97">
        <v>182</v>
      </c>
      <c r="B83" s="83" t="s">
        <v>5278</v>
      </c>
      <c r="C83" s="84" t="s">
        <v>5279</v>
      </c>
      <c r="D83" s="86"/>
      <c r="E83" s="86"/>
      <c r="F83" s="86" t="s">
        <v>78</v>
      </c>
      <c r="G83" s="86" t="s">
        <v>167</v>
      </c>
      <c r="H83" s="86" t="s">
        <v>47</v>
      </c>
      <c r="I83" s="86" t="s">
        <v>49</v>
      </c>
      <c r="J83" s="98"/>
    </row>
    <row r="84" spans="1:10" ht="56">
      <c r="A84" s="97">
        <v>183</v>
      </c>
      <c r="B84" s="83" t="s">
        <v>5280</v>
      </c>
      <c r="C84" s="84" t="s">
        <v>5281</v>
      </c>
      <c r="D84" s="86"/>
      <c r="E84" s="86"/>
      <c r="F84" s="86" t="s">
        <v>78</v>
      </c>
      <c r="G84" s="86" t="s">
        <v>79</v>
      </c>
      <c r="H84" s="86" t="s">
        <v>79</v>
      </c>
      <c r="I84" s="86" t="s">
        <v>49</v>
      </c>
      <c r="J84" s="98"/>
    </row>
    <row r="85" spans="1:10" ht="56">
      <c r="A85" s="97">
        <v>184</v>
      </c>
      <c r="B85" s="83" t="s">
        <v>5282</v>
      </c>
      <c r="C85" s="84" t="s">
        <v>5283</v>
      </c>
      <c r="D85" s="86"/>
      <c r="E85" s="86"/>
      <c r="F85" s="86" t="s">
        <v>78</v>
      </c>
      <c r="G85" s="86" t="s">
        <v>167</v>
      </c>
      <c r="H85" s="86" t="s">
        <v>5284</v>
      </c>
      <c r="I85" s="86" t="s">
        <v>49</v>
      </c>
      <c r="J85" s="98"/>
    </row>
    <row r="86" spans="1:10" ht="56">
      <c r="A86" s="97">
        <v>185</v>
      </c>
      <c r="B86" s="83" t="s">
        <v>5285</v>
      </c>
      <c r="C86" s="84" t="s">
        <v>5286</v>
      </c>
      <c r="D86" s="86"/>
      <c r="E86" s="86"/>
      <c r="F86" s="86" t="s">
        <v>78</v>
      </c>
      <c r="G86" s="86" t="s">
        <v>167</v>
      </c>
      <c r="H86" s="86" t="s">
        <v>79</v>
      </c>
      <c r="I86" s="86" t="s">
        <v>49</v>
      </c>
      <c r="J86" s="98"/>
    </row>
    <row r="87" spans="1:10" ht="42">
      <c r="A87" s="97">
        <v>187</v>
      </c>
      <c r="B87" s="83" t="s">
        <v>5287</v>
      </c>
      <c r="C87" s="84" t="s">
        <v>5288</v>
      </c>
      <c r="D87" s="86"/>
      <c r="E87" s="86"/>
      <c r="F87" s="86" t="s">
        <v>78</v>
      </c>
      <c r="G87" s="86" t="s">
        <v>79</v>
      </c>
      <c r="H87" s="86" t="s">
        <v>100</v>
      </c>
      <c r="I87" s="86" t="s">
        <v>49</v>
      </c>
      <c r="J87" s="98"/>
    </row>
    <row r="88" spans="1:10" ht="70">
      <c r="A88" s="97">
        <v>188</v>
      </c>
      <c r="B88" s="83" t="s">
        <v>5289</v>
      </c>
      <c r="C88" s="84" t="s">
        <v>5290</v>
      </c>
      <c r="D88" s="86"/>
      <c r="E88" s="86"/>
      <c r="F88" s="86" t="s">
        <v>78</v>
      </c>
      <c r="G88" s="86" t="s">
        <v>79</v>
      </c>
      <c r="H88" s="86" t="s">
        <v>47</v>
      </c>
      <c r="I88" s="86" t="s">
        <v>49</v>
      </c>
      <c r="J88" s="98"/>
    </row>
    <row r="89" spans="1:10" ht="42">
      <c r="A89" s="97">
        <v>189</v>
      </c>
      <c r="B89" s="83" t="s">
        <v>5291</v>
      </c>
      <c r="C89" s="84" t="s">
        <v>5292</v>
      </c>
      <c r="D89" s="86"/>
      <c r="E89" s="86"/>
      <c r="F89" s="86" t="s">
        <v>78</v>
      </c>
      <c r="G89" s="86" t="s">
        <v>79</v>
      </c>
      <c r="H89" s="86" t="s">
        <v>47</v>
      </c>
      <c r="I89" s="86" t="s">
        <v>49</v>
      </c>
      <c r="J89" s="98"/>
    </row>
    <row r="90" spans="1:10" ht="70">
      <c r="A90" s="97">
        <v>193</v>
      </c>
      <c r="B90" s="83" t="s">
        <v>5293</v>
      </c>
      <c r="C90" s="84" t="s">
        <v>5294</v>
      </c>
      <c r="D90" s="86"/>
      <c r="E90" s="86"/>
      <c r="F90" s="86" t="s">
        <v>78</v>
      </c>
      <c r="G90" s="86" t="s">
        <v>79</v>
      </c>
      <c r="H90" s="86" t="s">
        <v>47</v>
      </c>
      <c r="I90" s="86" t="s">
        <v>49</v>
      </c>
      <c r="J90" s="98"/>
    </row>
    <row r="91" spans="1:10" ht="70">
      <c r="A91" s="97">
        <v>257</v>
      </c>
      <c r="B91" s="83" t="s">
        <v>5295</v>
      </c>
      <c r="C91" s="84" t="s">
        <v>5296</v>
      </c>
      <c r="D91" s="86"/>
      <c r="E91" s="87" t="s">
        <v>4626</v>
      </c>
      <c r="F91" s="87" t="s">
        <v>78</v>
      </c>
      <c r="G91" s="86" t="s">
        <v>79</v>
      </c>
      <c r="H91" s="86" t="s">
        <v>47</v>
      </c>
      <c r="I91" s="86" t="s">
        <v>49</v>
      </c>
      <c r="J91" s="98"/>
    </row>
    <row r="92" spans="1:10" s="50" customFormat="1" ht="70">
      <c r="A92" s="144">
        <v>258</v>
      </c>
      <c r="B92" s="145" t="s">
        <v>5297</v>
      </c>
      <c r="C92" s="153" t="s">
        <v>5298</v>
      </c>
      <c r="D92" s="147"/>
      <c r="E92" s="154" t="s">
        <v>4626</v>
      </c>
      <c r="F92" s="154" t="s">
        <v>78</v>
      </c>
      <c r="G92" s="147" t="s">
        <v>79</v>
      </c>
      <c r="H92" s="147" t="s">
        <v>162</v>
      </c>
      <c r="I92" s="147" t="s">
        <v>49</v>
      </c>
      <c r="J92" s="155"/>
    </row>
    <row r="93" spans="1:10" ht="70">
      <c r="A93" s="97">
        <v>259</v>
      </c>
      <c r="B93" s="83" t="s">
        <v>5299</v>
      </c>
      <c r="C93" s="84" t="s">
        <v>5300</v>
      </c>
      <c r="D93" s="86"/>
      <c r="E93" s="86"/>
      <c r="F93" s="87" t="s">
        <v>78</v>
      </c>
      <c r="G93" s="86" t="s">
        <v>167</v>
      </c>
      <c r="H93" s="86" t="s">
        <v>47</v>
      </c>
      <c r="I93" s="86" t="s">
        <v>49</v>
      </c>
      <c r="J93" s="98"/>
    </row>
    <row r="94" spans="1:10" ht="56">
      <c r="A94" s="97">
        <v>260</v>
      </c>
      <c r="B94" s="83" t="s">
        <v>5301</v>
      </c>
      <c r="C94" s="84" t="s">
        <v>5302</v>
      </c>
      <c r="D94" s="86"/>
      <c r="E94" s="86"/>
      <c r="F94" s="87" t="s">
        <v>78</v>
      </c>
      <c r="G94" s="86" t="s">
        <v>79</v>
      </c>
      <c r="H94" s="86" t="s">
        <v>47</v>
      </c>
      <c r="I94" s="86" t="s">
        <v>49</v>
      </c>
      <c r="J94" s="98"/>
    </row>
    <row r="95" spans="1:10" ht="70">
      <c r="A95" s="97">
        <v>261</v>
      </c>
      <c r="B95" s="83" t="s">
        <v>5303</v>
      </c>
      <c r="C95" s="84" t="s">
        <v>5304</v>
      </c>
      <c r="D95" s="86"/>
      <c r="E95" s="87" t="s">
        <v>4626</v>
      </c>
      <c r="F95" s="87" t="s">
        <v>78</v>
      </c>
      <c r="G95" s="86" t="s">
        <v>167</v>
      </c>
      <c r="H95" s="86" t="s">
        <v>79</v>
      </c>
      <c r="I95" s="86" t="s">
        <v>49</v>
      </c>
      <c r="J95" s="98"/>
    </row>
    <row r="96" spans="1:10" ht="70">
      <c r="A96" s="97">
        <v>262</v>
      </c>
      <c r="B96" s="83" t="s">
        <v>5305</v>
      </c>
      <c r="C96" s="84" t="s">
        <v>5306</v>
      </c>
      <c r="D96" s="86"/>
      <c r="E96" s="87" t="s">
        <v>4626</v>
      </c>
      <c r="F96" s="87" t="s">
        <v>78</v>
      </c>
      <c r="G96" s="86" t="s">
        <v>79</v>
      </c>
      <c r="H96" s="86" t="s">
        <v>47</v>
      </c>
      <c r="I96" s="86" t="s">
        <v>49</v>
      </c>
      <c r="J96" s="98"/>
    </row>
    <row r="97" spans="1:10" ht="56">
      <c r="A97" s="97">
        <v>263</v>
      </c>
      <c r="B97" s="83" t="s">
        <v>5307</v>
      </c>
      <c r="C97" s="84" t="s">
        <v>5308</v>
      </c>
      <c r="D97" s="86"/>
      <c r="E97" s="87" t="s">
        <v>4626</v>
      </c>
      <c r="F97" s="87" t="s">
        <v>78</v>
      </c>
      <c r="G97" s="86" t="s">
        <v>167</v>
      </c>
      <c r="H97" s="86" t="s">
        <v>79</v>
      </c>
      <c r="I97" s="86" t="s">
        <v>49</v>
      </c>
      <c r="J97" s="98"/>
    </row>
    <row r="98" spans="1:10" ht="70">
      <c r="A98" s="97">
        <v>264</v>
      </c>
      <c r="B98" s="83" t="s">
        <v>5309</v>
      </c>
      <c r="C98" s="84" t="s">
        <v>5310</v>
      </c>
      <c r="D98" s="86"/>
      <c r="E98" s="86"/>
      <c r="F98" s="87" t="s">
        <v>78</v>
      </c>
      <c r="G98" s="86" t="s">
        <v>167</v>
      </c>
      <c r="H98" s="86" t="s">
        <v>79</v>
      </c>
      <c r="I98" s="86" t="s">
        <v>49</v>
      </c>
      <c r="J98" s="98"/>
    </row>
    <row r="99" spans="1:10" ht="56">
      <c r="A99" s="97">
        <v>265</v>
      </c>
      <c r="B99" s="83" t="s">
        <v>5311</v>
      </c>
      <c r="C99" s="84" t="s">
        <v>5312</v>
      </c>
      <c r="D99" s="86"/>
      <c r="E99" s="86"/>
      <c r="F99" s="87" t="s">
        <v>78</v>
      </c>
      <c r="G99" s="86" t="s">
        <v>79</v>
      </c>
      <c r="H99" s="86" t="s">
        <v>5313</v>
      </c>
      <c r="I99" s="86" t="s">
        <v>49</v>
      </c>
      <c r="J99" s="98"/>
    </row>
    <row r="100" spans="1:10" s="50" customFormat="1" ht="84">
      <c r="A100" s="144">
        <v>266</v>
      </c>
      <c r="B100" s="145" t="s">
        <v>5314</v>
      </c>
      <c r="C100" s="146" t="s">
        <v>5315</v>
      </c>
      <c r="D100" s="147"/>
      <c r="E100" s="147"/>
      <c r="F100" s="156" t="s">
        <v>78</v>
      </c>
      <c r="G100" s="147" t="s">
        <v>7108</v>
      </c>
      <c r="H100" s="147"/>
      <c r="I100" s="157" t="s">
        <v>49</v>
      </c>
      <c r="J100" s="155"/>
    </row>
    <row r="101" spans="1:10" ht="70">
      <c r="A101" s="97">
        <v>267</v>
      </c>
      <c r="B101" s="83" t="s">
        <v>5316</v>
      </c>
      <c r="C101" s="84" t="s">
        <v>5317</v>
      </c>
      <c r="D101" s="86"/>
      <c r="E101" s="87" t="s">
        <v>4626</v>
      </c>
      <c r="F101" s="87" t="s">
        <v>78</v>
      </c>
      <c r="G101" s="86" t="s">
        <v>167</v>
      </c>
      <c r="H101" s="86" t="s">
        <v>79</v>
      </c>
      <c r="I101" s="86" t="s">
        <v>49</v>
      </c>
      <c r="J101" s="98"/>
    </row>
    <row r="102" spans="1:10" ht="84">
      <c r="A102" s="97">
        <v>268</v>
      </c>
      <c r="B102" s="83" t="s">
        <v>5318</v>
      </c>
      <c r="C102" s="84" t="s">
        <v>5319</v>
      </c>
      <c r="D102" s="86"/>
      <c r="E102" s="87" t="s">
        <v>4626</v>
      </c>
      <c r="F102" s="87" t="s">
        <v>78</v>
      </c>
      <c r="G102" s="86" t="s">
        <v>79</v>
      </c>
      <c r="H102" s="87" t="s">
        <v>47</v>
      </c>
      <c r="I102" s="86" t="s">
        <v>49</v>
      </c>
      <c r="J102" s="98"/>
    </row>
    <row r="103" spans="1:10" ht="70">
      <c r="A103" s="97">
        <v>269</v>
      </c>
      <c r="B103" s="83" t="s">
        <v>5320</v>
      </c>
      <c r="C103" s="84" t="s">
        <v>5321</v>
      </c>
      <c r="D103" s="86"/>
      <c r="E103" s="87" t="s">
        <v>4626</v>
      </c>
      <c r="F103" s="87" t="s">
        <v>78</v>
      </c>
      <c r="G103" s="86" t="s">
        <v>167</v>
      </c>
      <c r="H103" s="86" t="s">
        <v>111</v>
      </c>
      <c r="I103" s="86" t="s">
        <v>49</v>
      </c>
      <c r="J103" s="98"/>
    </row>
    <row r="104" spans="1:10" ht="56">
      <c r="A104" s="97">
        <v>270</v>
      </c>
      <c r="B104" s="83" t="s">
        <v>5322</v>
      </c>
      <c r="C104" s="84" t="s">
        <v>5323</v>
      </c>
      <c r="D104" s="86"/>
      <c r="E104" s="87"/>
      <c r="F104" s="87" t="s">
        <v>78</v>
      </c>
      <c r="G104" s="86" t="s">
        <v>167</v>
      </c>
      <c r="H104" s="87" t="s">
        <v>47</v>
      </c>
      <c r="I104" s="86" t="s">
        <v>49</v>
      </c>
      <c r="J104" s="98"/>
    </row>
    <row r="105" spans="1:10" ht="84">
      <c r="A105" s="97">
        <v>271</v>
      </c>
      <c r="B105" s="83" t="s">
        <v>4022</v>
      </c>
      <c r="C105" s="84" t="s">
        <v>5324</v>
      </c>
      <c r="D105" s="86"/>
      <c r="E105" s="87" t="s">
        <v>4626</v>
      </c>
      <c r="F105" s="99" t="s">
        <v>78</v>
      </c>
      <c r="G105" s="86" t="s">
        <v>167</v>
      </c>
      <c r="H105" s="86" t="s">
        <v>5325</v>
      </c>
      <c r="I105" s="86" t="s">
        <v>49</v>
      </c>
      <c r="J105" s="98"/>
    </row>
    <row r="106" spans="1:10" ht="56">
      <c r="A106" s="97">
        <v>272</v>
      </c>
      <c r="B106" s="83" t="s">
        <v>5326</v>
      </c>
      <c r="C106" s="84" t="s">
        <v>5327</v>
      </c>
      <c r="D106" s="86"/>
      <c r="E106" s="86"/>
      <c r="F106" s="99" t="s">
        <v>78</v>
      </c>
      <c r="G106" s="86" t="s">
        <v>167</v>
      </c>
      <c r="H106" s="86" t="s">
        <v>111</v>
      </c>
      <c r="I106" s="86" t="s">
        <v>49</v>
      </c>
      <c r="J106" s="98"/>
    </row>
    <row r="107" spans="1:10" ht="70">
      <c r="A107" s="97">
        <v>273</v>
      </c>
      <c r="B107" s="83" t="s">
        <v>5328</v>
      </c>
      <c r="C107" s="84" t="s">
        <v>5329</v>
      </c>
      <c r="D107" s="86"/>
      <c r="E107" s="87" t="s">
        <v>4626</v>
      </c>
      <c r="F107" s="99" t="s">
        <v>78</v>
      </c>
      <c r="G107" s="86" t="s">
        <v>79</v>
      </c>
      <c r="H107" s="87" t="s">
        <v>47</v>
      </c>
      <c r="I107" s="86" t="s">
        <v>49</v>
      </c>
      <c r="J107" s="98"/>
    </row>
    <row r="108" spans="1:10" ht="56">
      <c r="A108" s="97">
        <v>274</v>
      </c>
      <c r="B108" s="83" t="s">
        <v>5330</v>
      </c>
      <c r="C108" s="84" t="s">
        <v>5331</v>
      </c>
      <c r="D108" s="86"/>
      <c r="E108" s="86"/>
      <c r="F108" s="99" t="s">
        <v>78</v>
      </c>
      <c r="G108" s="86" t="s">
        <v>79</v>
      </c>
      <c r="H108" s="86" t="s">
        <v>5332</v>
      </c>
      <c r="I108" s="86" t="s">
        <v>49</v>
      </c>
      <c r="J108" s="98"/>
    </row>
    <row r="109" spans="1:10" ht="70">
      <c r="A109" s="97">
        <v>275</v>
      </c>
      <c r="B109" s="83" t="s">
        <v>5333</v>
      </c>
      <c r="C109" s="84" t="s">
        <v>5334</v>
      </c>
      <c r="D109" s="86"/>
      <c r="E109" s="87" t="s">
        <v>4626</v>
      </c>
      <c r="F109" s="99" t="s">
        <v>78</v>
      </c>
      <c r="G109" s="86" t="s">
        <v>79</v>
      </c>
      <c r="H109" s="87" t="s">
        <v>47</v>
      </c>
      <c r="I109" s="86" t="s">
        <v>49</v>
      </c>
      <c r="J109" s="98"/>
    </row>
    <row r="110" spans="1:10" ht="56">
      <c r="A110" s="97">
        <v>276</v>
      </c>
      <c r="B110" s="83" t="s">
        <v>5335</v>
      </c>
      <c r="C110" s="84" t="s">
        <v>5336</v>
      </c>
      <c r="D110" s="86"/>
      <c r="E110" s="87" t="s">
        <v>4626</v>
      </c>
      <c r="F110" s="99" t="s">
        <v>78</v>
      </c>
      <c r="G110" s="86" t="s">
        <v>79</v>
      </c>
      <c r="H110" s="87" t="s">
        <v>47</v>
      </c>
      <c r="I110" s="86" t="s">
        <v>49</v>
      </c>
      <c r="J110" s="98"/>
    </row>
    <row r="111" spans="1:10" ht="84">
      <c r="A111" s="97">
        <v>277</v>
      </c>
      <c r="B111" s="83" t="s">
        <v>5337</v>
      </c>
      <c r="C111" s="84" t="s">
        <v>5338</v>
      </c>
      <c r="D111" s="86"/>
      <c r="E111" s="87" t="s">
        <v>4626</v>
      </c>
      <c r="F111" s="99" t="s">
        <v>78</v>
      </c>
      <c r="G111" s="86" t="s">
        <v>79</v>
      </c>
      <c r="H111" s="87" t="s">
        <v>47</v>
      </c>
      <c r="I111" s="86" t="s">
        <v>49</v>
      </c>
      <c r="J111" s="98"/>
    </row>
    <row r="112" spans="1:10" ht="56">
      <c r="A112" s="97">
        <v>278</v>
      </c>
      <c r="B112" s="83" t="s">
        <v>5339</v>
      </c>
      <c r="C112" s="84" t="s">
        <v>5340</v>
      </c>
      <c r="D112" s="86"/>
      <c r="E112" s="87" t="s">
        <v>4626</v>
      </c>
      <c r="F112" s="99" t="s">
        <v>78</v>
      </c>
      <c r="G112" s="86" t="s">
        <v>79</v>
      </c>
      <c r="H112" s="86" t="s">
        <v>79</v>
      </c>
      <c r="I112" s="86" t="s">
        <v>49</v>
      </c>
      <c r="J112" s="98"/>
    </row>
    <row r="113" spans="1:10" ht="70">
      <c r="A113" s="97">
        <v>279</v>
      </c>
      <c r="B113" s="83" t="s">
        <v>453</v>
      </c>
      <c r="C113" s="84" t="s">
        <v>5341</v>
      </c>
      <c r="D113" s="86"/>
      <c r="E113" s="87" t="s">
        <v>4626</v>
      </c>
      <c r="F113" s="99" t="s">
        <v>78</v>
      </c>
      <c r="G113" s="86" t="s">
        <v>79</v>
      </c>
      <c r="H113" s="87" t="s">
        <v>47</v>
      </c>
      <c r="I113" s="86" t="s">
        <v>49</v>
      </c>
      <c r="J113" s="98"/>
    </row>
    <row r="114" spans="1:10" ht="84">
      <c r="A114" s="97">
        <v>280</v>
      </c>
      <c r="B114" s="83" t="s">
        <v>5342</v>
      </c>
      <c r="C114" s="84" t="s">
        <v>5343</v>
      </c>
      <c r="D114" s="86"/>
      <c r="E114" s="87" t="s">
        <v>4626</v>
      </c>
      <c r="F114" s="99" t="s">
        <v>78</v>
      </c>
      <c r="G114" s="86" t="s">
        <v>79</v>
      </c>
      <c r="H114" s="87" t="s">
        <v>47</v>
      </c>
      <c r="I114" s="86" t="s">
        <v>49</v>
      </c>
      <c r="J114" s="98"/>
    </row>
    <row r="115" spans="1:10" ht="56">
      <c r="A115" s="97">
        <v>281</v>
      </c>
      <c r="B115" s="83" t="s">
        <v>5344</v>
      </c>
      <c r="C115" s="84" t="s">
        <v>5345</v>
      </c>
      <c r="D115" s="86"/>
      <c r="E115" s="86"/>
      <c r="F115" s="99" t="s">
        <v>78</v>
      </c>
      <c r="G115" s="86" t="s">
        <v>79</v>
      </c>
      <c r="H115" s="87" t="s">
        <v>47</v>
      </c>
      <c r="I115" s="86" t="s">
        <v>49</v>
      </c>
      <c r="J115" s="98"/>
    </row>
    <row r="116" spans="1:10" ht="70">
      <c r="A116" s="97">
        <v>282</v>
      </c>
      <c r="B116" s="83" t="s">
        <v>965</v>
      </c>
      <c r="C116" s="84" t="s">
        <v>5346</v>
      </c>
      <c r="D116" s="86"/>
      <c r="E116" s="87" t="s">
        <v>4626</v>
      </c>
      <c r="F116" s="99" t="s">
        <v>78</v>
      </c>
      <c r="G116" s="86" t="s">
        <v>167</v>
      </c>
      <c r="H116" s="87" t="s">
        <v>47</v>
      </c>
      <c r="I116" s="86" t="s">
        <v>49</v>
      </c>
      <c r="J116" s="98"/>
    </row>
    <row r="117" spans="1:10" ht="70">
      <c r="A117" s="97">
        <v>283</v>
      </c>
      <c r="B117" s="83" t="s">
        <v>5347</v>
      </c>
      <c r="C117" s="84" t="s">
        <v>5348</v>
      </c>
      <c r="D117" s="86"/>
      <c r="E117" s="86"/>
      <c r="F117" s="99" t="s">
        <v>78</v>
      </c>
      <c r="G117" s="86" t="s">
        <v>79</v>
      </c>
      <c r="H117" s="87" t="s">
        <v>47</v>
      </c>
      <c r="I117" s="86" t="s">
        <v>49</v>
      </c>
      <c r="J117" s="98"/>
    </row>
    <row r="118" spans="1:10" ht="56">
      <c r="A118" s="97">
        <v>284</v>
      </c>
      <c r="B118" s="83" t="s">
        <v>5349</v>
      </c>
      <c r="C118" s="84" t="s">
        <v>5350</v>
      </c>
      <c r="D118" s="86"/>
      <c r="E118" s="87" t="s">
        <v>4626</v>
      </c>
      <c r="F118" s="99" t="s">
        <v>78</v>
      </c>
      <c r="G118" s="86" t="s">
        <v>79</v>
      </c>
      <c r="H118" s="87" t="s">
        <v>47</v>
      </c>
      <c r="I118" s="86" t="s">
        <v>49</v>
      </c>
      <c r="J118" s="98"/>
    </row>
    <row r="119" spans="1:10" ht="70">
      <c r="A119" s="97">
        <v>285</v>
      </c>
      <c r="B119" s="83" t="s">
        <v>5351</v>
      </c>
      <c r="C119" s="84" t="s">
        <v>5352</v>
      </c>
      <c r="D119" s="86"/>
      <c r="E119" s="87" t="s">
        <v>4626</v>
      </c>
      <c r="F119" s="99" t="s">
        <v>78</v>
      </c>
      <c r="G119" s="86" t="s">
        <v>79</v>
      </c>
      <c r="H119" s="87" t="s">
        <v>47</v>
      </c>
      <c r="I119" s="86" t="s">
        <v>49</v>
      </c>
      <c r="J119" s="98"/>
    </row>
    <row r="120" spans="1:10" ht="70">
      <c r="A120" s="97">
        <v>286</v>
      </c>
      <c r="B120" s="83" t="s">
        <v>5353</v>
      </c>
      <c r="C120" s="84" t="s">
        <v>5354</v>
      </c>
      <c r="D120" s="86"/>
      <c r="E120" s="87" t="s">
        <v>4626</v>
      </c>
      <c r="F120" s="99" t="s">
        <v>78</v>
      </c>
      <c r="G120" s="86" t="s">
        <v>79</v>
      </c>
      <c r="H120" s="87" t="s">
        <v>5313</v>
      </c>
      <c r="I120" s="86" t="s">
        <v>49</v>
      </c>
      <c r="J120" s="98"/>
    </row>
    <row r="121" spans="1:10" ht="70">
      <c r="A121" s="97">
        <v>287</v>
      </c>
      <c r="B121" s="83" t="s">
        <v>5355</v>
      </c>
      <c r="C121" s="84" t="s">
        <v>5356</v>
      </c>
      <c r="D121" s="86"/>
      <c r="E121" s="87" t="s">
        <v>4626</v>
      </c>
      <c r="F121" s="99" t="s">
        <v>78</v>
      </c>
      <c r="G121" s="86" t="s">
        <v>79</v>
      </c>
      <c r="H121" s="87" t="s">
        <v>47</v>
      </c>
      <c r="I121" s="86" t="s">
        <v>49</v>
      </c>
      <c r="J121" s="98"/>
    </row>
    <row r="122" spans="1:10" ht="70">
      <c r="A122" s="97">
        <v>288</v>
      </c>
      <c r="B122" s="83" t="s">
        <v>5357</v>
      </c>
      <c r="C122" s="84" t="s">
        <v>5358</v>
      </c>
      <c r="D122" s="86"/>
      <c r="E122" s="87" t="s">
        <v>4626</v>
      </c>
      <c r="F122" s="99" t="s">
        <v>78</v>
      </c>
      <c r="G122" s="86" t="s">
        <v>79</v>
      </c>
      <c r="H122" s="87" t="s">
        <v>47</v>
      </c>
      <c r="I122" s="86" t="s">
        <v>49</v>
      </c>
      <c r="J122" s="98"/>
    </row>
    <row r="123" spans="1:10" ht="70">
      <c r="A123" s="97">
        <v>289</v>
      </c>
      <c r="B123" s="83" t="s">
        <v>5359</v>
      </c>
      <c r="C123" s="84" t="s">
        <v>5360</v>
      </c>
      <c r="D123" s="86"/>
      <c r="E123" s="87" t="s">
        <v>4626</v>
      </c>
      <c r="F123" s="99" t="s">
        <v>78</v>
      </c>
      <c r="G123" s="86" t="s">
        <v>79</v>
      </c>
      <c r="H123" s="87" t="s">
        <v>47</v>
      </c>
      <c r="I123" s="86" t="s">
        <v>49</v>
      </c>
      <c r="J123" s="98"/>
    </row>
    <row r="124" spans="1:10" ht="56">
      <c r="A124" s="97">
        <v>240</v>
      </c>
      <c r="B124" s="83" t="s">
        <v>5171</v>
      </c>
      <c r="C124" s="84" t="s">
        <v>5172</v>
      </c>
      <c r="D124" s="86"/>
      <c r="E124" s="86"/>
      <c r="F124" s="125" t="s">
        <v>78</v>
      </c>
      <c r="G124" s="86" t="s">
        <v>167</v>
      </c>
      <c r="H124" s="86" t="s">
        <v>100</v>
      </c>
      <c r="I124" s="86" t="s">
        <v>49</v>
      </c>
      <c r="J124" s="98"/>
    </row>
    <row r="125" spans="1:10" ht="70">
      <c r="A125" s="97">
        <v>290</v>
      </c>
      <c r="B125" s="83" t="s">
        <v>5203</v>
      </c>
      <c r="C125" s="84" t="s">
        <v>5204</v>
      </c>
      <c r="D125" s="86"/>
      <c r="E125" s="86"/>
      <c r="F125" s="99" t="s">
        <v>78</v>
      </c>
      <c r="G125" s="86" t="s">
        <v>79</v>
      </c>
      <c r="H125" s="87" t="s">
        <v>47</v>
      </c>
      <c r="I125" s="86" t="s">
        <v>49</v>
      </c>
      <c r="J125" s="98"/>
    </row>
    <row r="126" spans="1:10" ht="56">
      <c r="A126" s="97">
        <v>291</v>
      </c>
      <c r="B126" s="83" t="s">
        <v>5205</v>
      </c>
      <c r="C126" s="84" t="s">
        <v>5206</v>
      </c>
      <c r="D126" s="86"/>
      <c r="E126" s="86"/>
      <c r="F126" s="99" t="s">
        <v>78</v>
      </c>
      <c r="G126" s="86" t="s">
        <v>79</v>
      </c>
      <c r="H126" s="87" t="s">
        <v>47</v>
      </c>
      <c r="I126" s="86" t="s">
        <v>49</v>
      </c>
      <c r="J126" s="98"/>
    </row>
    <row r="127" spans="1:10" ht="70">
      <c r="A127" s="97">
        <v>292</v>
      </c>
      <c r="B127" s="83" t="s">
        <v>5207</v>
      </c>
      <c r="C127" s="84" t="s">
        <v>5208</v>
      </c>
      <c r="D127" s="86"/>
      <c r="E127" s="87" t="s">
        <v>4626</v>
      </c>
      <c r="F127" s="99" t="s">
        <v>78</v>
      </c>
      <c r="G127" s="86" t="s">
        <v>79</v>
      </c>
      <c r="H127" s="87" t="s">
        <v>47</v>
      </c>
      <c r="I127" s="86" t="s">
        <v>49</v>
      </c>
      <c r="J127" s="98"/>
    </row>
    <row r="128" spans="1:10" ht="42">
      <c r="A128" s="97">
        <v>293</v>
      </c>
      <c r="B128" s="83" t="s">
        <v>5209</v>
      </c>
      <c r="C128" s="84" t="s">
        <v>5210</v>
      </c>
      <c r="D128" s="86"/>
      <c r="E128" s="87" t="s">
        <v>4626</v>
      </c>
      <c r="F128" s="99" t="s">
        <v>78</v>
      </c>
      <c r="G128" s="86" t="s">
        <v>167</v>
      </c>
      <c r="H128" s="86" t="s">
        <v>79</v>
      </c>
      <c r="I128" s="86" t="s">
        <v>49</v>
      </c>
      <c r="J128" s="98"/>
    </row>
    <row r="129" spans="1:10" ht="56">
      <c r="A129" s="97">
        <v>294</v>
      </c>
      <c r="B129" s="83" t="s">
        <v>5211</v>
      </c>
      <c r="C129" s="84" t="s">
        <v>5212</v>
      </c>
      <c r="D129" s="86"/>
      <c r="E129" s="86"/>
      <c r="F129" s="99" t="s">
        <v>78</v>
      </c>
      <c r="G129" s="86" t="s">
        <v>79</v>
      </c>
      <c r="H129" s="86" t="s">
        <v>79</v>
      </c>
      <c r="I129" s="86" t="s">
        <v>49</v>
      </c>
      <c r="J129" s="98"/>
    </row>
    <row r="130" spans="1:10" ht="70">
      <c r="A130" s="97">
        <v>295</v>
      </c>
      <c r="B130" s="83" t="s">
        <v>5213</v>
      </c>
      <c r="C130" s="84" t="s">
        <v>5214</v>
      </c>
      <c r="D130" s="86"/>
      <c r="E130" s="86"/>
      <c r="F130" s="99" t="s">
        <v>78</v>
      </c>
      <c r="G130" s="86" t="s">
        <v>79</v>
      </c>
      <c r="H130" s="87" t="s">
        <v>47</v>
      </c>
      <c r="I130" s="86" t="s">
        <v>49</v>
      </c>
      <c r="J130" s="98"/>
    </row>
    <row r="131" spans="1:10" ht="98">
      <c r="A131" s="97">
        <v>296</v>
      </c>
      <c r="B131" s="83" t="s">
        <v>5215</v>
      </c>
      <c r="C131" s="84" t="s">
        <v>5216</v>
      </c>
      <c r="D131" s="86"/>
      <c r="E131" s="87" t="s">
        <v>4626</v>
      </c>
      <c r="F131" s="99" t="s">
        <v>78</v>
      </c>
      <c r="G131" s="86" t="s">
        <v>79</v>
      </c>
      <c r="H131" s="86" t="s">
        <v>80</v>
      </c>
      <c r="I131" s="86" t="s">
        <v>49</v>
      </c>
      <c r="J131" s="98"/>
    </row>
    <row r="132" spans="1:10">
      <c r="E132" s="129" t="s">
        <v>6191</v>
      </c>
      <c r="F132" s="42">
        <f>COUNTA(F63:F131)</f>
        <v>69</v>
      </c>
    </row>
  </sheetData>
  <hyperlinks>
    <hyperlink ref="A58" r:id="rId1" display="http://www.westlaw.com/Find/Default.wl?rs=dfa1.0&amp;vr=2.0&amp;DB=780&amp;FindType=Y&amp;SerialNum=2008261630"/>
    <hyperlink ref="A63" r:id="rId2" display="http://www.westlaw.com/Find/Default.wl?rs=dfa1.0&amp;vr=2.0&amp;DB=6538&amp;FindType=Y&amp;SerialNum=2010384360"/>
    <hyperlink ref="A64" r:id="rId3" display="http://www.westlaw.com/Find/Default.wl?rs=dfa1.0&amp;vr=2.0&amp;DB=6538&amp;FindType=Y&amp;SerialNum=2010225365"/>
    <hyperlink ref="A65" r:id="rId4" display="http://www.westlaw.com/Find/Default.wl?rs=dfa1.0&amp;vr=2.0&amp;DB=506&amp;FindType=Y&amp;SerialNum=2010200956"/>
    <hyperlink ref="A66" r:id="rId5" display="http://www.westlaw.com/Find/Default.wl?rs=dfa1.0&amp;vr=2.0&amp;DB=506&amp;FindType=Y&amp;SerialNum=2009781129"/>
    <hyperlink ref="A67" r:id="rId6" display="http://www.westlaw.com/Find/Default.wl?rs=dfa1.0&amp;vr=2.0&amp;DB=506&amp;FindType=Y&amp;SerialNum=2009736718"/>
    <hyperlink ref="A68" r:id="rId7" display="http://www.westlaw.com/Find/Default.wl?rs=dfa1.0&amp;vr=2.0&amp;DB=506&amp;FindType=Y&amp;SerialNum=2009719188"/>
    <hyperlink ref="A69" r:id="rId8" display="http://www.westlaw.com/Find/Default.wl?rs=dfa1.0&amp;vr=2.0&amp;DB=506&amp;FindType=Y&amp;SerialNum=2009673900"/>
    <hyperlink ref="A70" r:id="rId9" display="http://www.westlaw.com/Find/Default.wl?rs=dfa1.0&amp;vr=2.0&amp;DB=506&amp;FindType=Y&amp;SerialNum=2009645292"/>
    <hyperlink ref="A71" r:id="rId10" display="http://www.westlaw.com/Find/Default.wl?rs=dfa1.0&amp;vr=2.0&amp;DB=506&amp;FindType=Y&amp;SerialNum=2009616978"/>
    <hyperlink ref="A72" r:id="rId11" display="http://www.westlaw.com/Find/Default.wl?rs=dfa1.0&amp;vr=2.0&amp;DB=506&amp;FindType=Y&amp;SerialNum=2009603940"/>
    <hyperlink ref="A73" r:id="rId12" display="http://www.westlaw.com/Find/Default.wl?rs=dfa1.0&amp;vr=2.0&amp;DB=506&amp;FindType=Y&amp;SerialNum=2009468640"/>
    <hyperlink ref="A74" r:id="rId13" display="http://www.westlaw.com/Find/Default.wl?rs=dfa1.0&amp;vr=2.0&amp;DB=506&amp;FindType=Y&amp;SerialNum=2009397727"/>
    <hyperlink ref="A75" r:id="rId14" display="http://www.westlaw.com/Find/Default.wl?rs=dfa1.0&amp;vr=2.0&amp;DB=506&amp;FindType=Y&amp;SerialNum=2009404696"/>
    <hyperlink ref="A76" r:id="rId15" display="http://www.westlaw.com/Find/Default.wl?rs=dfa1.0&amp;vr=2.0&amp;DB=506&amp;FindType=Y&amp;SerialNum=2009392438"/>
    <hyperlink ref="A77" r:id="rId16" display="http://www.westlaw.com/Find/Default.wl?rs=dfa1.0&amp;vr=2.0&amp;DB=506&amp;FindType=Y&amp;SerialNum=2009317617"/>
    <hyperlink ref="A78" r:id="rId17" display="http://www.westlaw.com/Find/Default.wl?rs=dfa1.0&amp;vr=2.0&amp;DB=506&amp;FindType=Y&amp;SerialNum=2009250572"/>
    <hyperlink ref="A79" r:id="rId18" display="http://www.westlaw.com/Find/Default.wl?rs=dfa1.0&amp;vr=2.0&amp;DB=506&amp;FindType=Y&amp;SerialNum=2009212930"/>
    <hyperlink ref="A80" r:id="rId19" display="http://www.westlaw.com/Find/Default.wl?rs=dfa1.0&amp;vr=2.0&amp;DB=506&amp;FindType=Y&amp;SerialNum=2009129684"/>
    <hyperlink ref="A81" r:id="rId20" display="http://www.westlaw.com/Find/Default.wl?rs=dfa1.0&amp;vr=2.0&amp;DB=506&amp;FindType=Y&amp;SerialNum=2009106036"/>
    <hyperlink ref="A82" r:id="rId21" display="http://www.westlaw.com/Find/Default.wl?rs=dfa1.0&amp;vr=2.0&amp;DB=506&amp;FindType=Y&amp;SerialNum=2009084100"/>
    <hyperlink ref="A83" r:id="rId22" display="http://www.westlaw.com/Find/Default.wl?rs=dfa1.0&amp;vr=2.0&amp;DB=506&amp;FindType=Y&amp;SerialNum=2008986777"/>
    <hyperlink ref="A84" r:id="rId23" display="http://www.westlaw.com/Find/Default.wl?rs=dfa1.0&amp;vr=2.0&amp;DB=506&amp;FindType=Y&amp;SerialNum=2008850482"/>
    <hyperlink ref="A85" r:id="rId24" display="http://www.westlaw.com/Find/Default.wl?rs=dfa1.0&amp;vr=2.0&amp;DB=506&amp;FindType=Y&amp;SerialNum=2008826641"/>
    <hyperlink ref="A86" r:id="rId25" display="http://www.westlaw.com/Find/Default.wl?rs=dfa1.0&amp;vr=2.0&amp;DB=506&amp;FindType=Y&amp;SerialNum=2008783285"/>
    <hyperlink ref="A87" r:id="rId26" display="http://www.westlaw.com/Find/Default.wl?rs=dfa1.0&amp;vr=2.0&amp;DB=506&amp;FindType=Y&amp;SerialNum=2008692741"/>
    <hyperlink ref="A88" r:id="rId27" display="http://www.westlaw.com/Find/Default.wl?rs=dfa1.0&amp;vr=2.0&amp;DB=506&amp;FindType=Y&amp;SerialNum=2008662458"/>
    <hyperlink ref="A89" r:id="rId28" display="http://www.westlaw.com/Find/Default.wl?rs=dfa1.0&amp;vr=2.0&amp;DB=506&amp;FindType=Y&amp;SerialNum=2008584043"/>
    <hyperlink ref="A90" r:id="rId29" display="http://www.westlaw.com/Find/Default.wl?rs=dfa1.0&amp;vr=2.0&amp;DB=506&amp;FindType=Y&amp;SerialNum=2008333134"/>
    <hyperlink ref="A91" r:id="rId30" display="http://www.westlaw.com/Find/Default.wl?rs=dfa1.0&amp;vr=2.0&amp;FindType=Y&amp;SerialNum=2010423575"/>
    <hyperlink ref="A92" r:id="rId31" display="http://www.westlaw.com/Find/Default.wl?rs=dfa1.0&amp;vr=2.0&amp;FindType=Y&amp;SerialNum=2012984428"/>
    <hyperlink ref="A93" r:id="rId32" display="http://www.westlaw.com/Find/Default.wl?rs=dfa1.0&amp;vr=2.0&amp;DB=4637&amp;FindType=Y&amp;SerialNum=2011800666"/>
    <hyperlink ref="A94" r:id="rId33" display="http://www.westlaw.com/Find/Default.wl?rs=dfa1.0&amp;vr=2.0&amp;DB=4637&amp;FindType=Y&amp;SerialNum=2010258767"/>
    <hyperlink ref="A95" r:id="rId34" display="http://www.westlaw.com/Find/Default.wl?rs=dfa1.0&amp;vr=2.0&amp;FindType=Y&amp;SerialNum=2010283391"/>
    <hyperlink ref="A96" r:id="rId35" display="http://www.westlaw.com/Find/Default.wl?rs=dfa1.0&amp;vr=2.0&amp;FindType=Y&amp;SerialNum=2010277084"/>
    <hyperlink ref="A97" r:id="rId36" display="http://www.westlaw.com/Find/Default.wl?rs=dfa1.0&amp;vr=2.0&amp;DB=164&amp;FindType=Y&amp;SerialNum=2012627994"/>
    <hyperlink ref="A98" r:id="rId37" display="http://www.westlaw.com/Find/Default.wl?rs=dfa1.0&amp;vr=2.0&amp;DB=4637&amp;FindType=Y&amp;SerialNum=2010219926"/>
    <hyperlink ref="A99" r:id="rId38" display="http://www.westlaw.com/Find/Default.wl?rs=dfa1.0&amp;vr=2.0&amp;DB=4637&amp;FindType=Y&amp;SerialNum=2009795497"/>
    <hyperlink ref="A109" r:id="rId39" display="http://www.westlaw.com/Find/Default.wl?rs=dfa1.0&amp;vr=2.0&amp;FindType=Y&amp;SerialNum=2009515289"/>
    <hyperlink ref="A110" r:id="rId40" display="http://www.westlaw.com/Find/Default.wl?rs=dfa1.0&amp;vr=2.0&amp;DB=164&amp;FindType=Y&amp;SerialNum=2014309065"/>
    <hyperlink ref="A111" r:id="rId41" display="http://www.westlaw.com/Find/Default.wl?rs=dfa1.0&amp;vr=2.0&amp;DB=164&amp;FindType=Y&amp;SerialNum=2010764377"/>
    <hyperlink ref="A112" r:id="rId42" display="http://www.westlaw.com/Find/Default.wl?rs=dfa1.0&amp;vr=2.0&amp;DB=164&amp;FindType=Y&amp;SerialNum=2009339012"/>
    <hyperlink ref="A113" r:id="rId43" display="http://www.westlaw.com/Find/Default.wl?rs=dfa1.0&amp;vr=2.0&amp;FindType=Y&amp;SerialNum=2009265788"/>
    <hyperlink ref="A114" r:id="rId44" display="http://www.westlaw.com/Find/Default.wl?rs=dfa1.0&amp;vr=2.0&amp;DB=164&amp;FindType=Y&amp;SerialNum=2009255335"/>
    <hyperlink ref="A115" r:id="rId45" display="http://www.westlaw.com/Find/Default.wl?rs=dfa1.0&amp;vr=2.0&amp;DB=4637&amp;FindType=Y&amp;SerialNum=2009128848"/>
    <hyperlink ref="A116" r:id="rId46" display="http://www.westlaw.com/Find/Default.wl?rs=dfa1.0&amp;vr=2.0&amp;FindType=Y&amp;SerialNum=2009118661"/>
    <hyperlink ref="A117" r:id="rId47" display="http://www.westlaw.com/Find/Default.wl?rs=dfa1.0&amp;vr=2.0&amp;DB=4637&amp;FindType=Y&amp;SerialNum=2008856144"/>
    <hyperlink ref="A118" r:id="rId48" display="http://www.westlaw.com/Find/Default.wl?rs=dfa1.0&amp;vr=2.0&amp;DB=164&amp;FindType=Y&amp;SerialNum=2008834184"/>
    <hyperlink ref="A119" r:id="rId49" display="http://www.westlaw.com/Find/Default.wl?rs=dfa1.0&amp;vr=2.0&amp;FindType=Y&amp;SerialNum=2008743219"/>
    <hyperlink ref="A120" r:id="rId50" display="http://www.westlaw.com/Find/Default.wl?rs=dfa1.0&amp;vr=2.0&amp;FindType=Y&amp;SerialNum=2008717319"/>
    <hyperlink ref="A121" r:id="rId51" display="http://www.westlaw.com/Find/Default.wl?rs=dfa1.0&amp;vr=2.0&amp;FindType=Y&amp;SerialNum=2008632413"/>
    <hyperlink ref="A122" r:id="rId52" display="http://www.westlaw.com/Find/Default.wl?rs=dfa1.0&amp;vr=2.0&amp;FindType=Y&amp;SerialNum=2008587457"/>
    <hyperlink ref="A123" r:id="rId53" display="http://www.westlaw.com/Find/Default.wl?rs=dfa1.0&amp;vr=2.0&amp;FindType=Y&amp;SerialNum=2008515687"/>
    <hyperlink ref="A126" r:id="rId54" display="http://www.westlaw.com/Find/Default.wl?rs=dfa1.0&amp;vr=2.0&amp;DB=4637&amp;FindType=Y&amp;SerialNum=2007964962"/>
    <hyperlink ref="A127" r:id="rId55" display="http://www.westlaw.com/Find/Default.wl?rs=dfa1.0&amp;vr=2.0&amp;FindType=Y&amp;SerialNum=2007838665"/>
    <hyperlink ref="A128" r:id="rId56" display="http://www.westlaw.com/Find/Default.wl?rs=dfa1.0&amp;vr=2.0&amp;FindType=Y&amp;SerialNum=2007923777"/>
    <hyperlink ref="A129" r:id="rId57" display="http://www.westlaw.com/Find/Default.wl?rs=dfa1.0&amp;vr=2.0&amp;DB=164&amp;FindType=Y&amp;SerialNum=2010791141"/>
    <hyperlink ref="A130" r:id="rId58" display="http://www.westlaw.com/Find/Default.wl?rs=dfa1.0&amp;vr=2.0&amp;DB=4637&amp;FindType=Y&amp;SerialNum=2007701403"/>
    <hyperlink ref="A131" r:id="rId59" display="http://www.westlaw.com/Find/Default.wl?rs=dfa1.0&amp;vr=2.0&amp;DB=26&amp;FindType=Y&amp;SerialNum=200766251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85" zoomScaleNormal="85" zoomScalePageLayoutView="85" workbookViewId="0"/>
  </sheetViews>
  <sheetFormatPr baseColWidth="10" defaultColWidth="8.83203125" defaultRowHeight="14" x14ac:dyDescent="0"/>
  <cols>
    <col min="1" max="1" width="9.1640625" customWidth="1"/>
    <col min="2" max="2" width="20.5" customWidth="1"/>
    <col min="3" max="3" width="23.5" customWidth="1"/>
    <col min="5" max="5" width="8.6640625" bestFit="1" customWidth="1"/>
    <col min="6" max="6" width="6.6640625" bestFit="1" customWidth="1"/>
    <col min="7" max="7" width="14.5" bestFit="1" customWidth="1"/>
    <col min="8" max="8" width="20.5" bestFit="1" customWidth="1"/>
    <col min="9" max="9" width="17.6640625" bestFit="1" customWidth="1"/>
  </cols>
  <sheetData>
    <row r="1" spans="1:6">
      <c r="A1" s="11" t="s">
        <v>1478</v>
      </c>
      <c r="B1" s="12"/>
      <c r="C1" s="12"/>
      <c r="E1" s="39"/>
      <c r="F1" s="39"/>
    </row>
    <row r="2" spans="1:6">
      <c r="A2" s="12"/>
      <c r="B2" s="12"/>
      <c r="C2" s="12"/>
    </row>
    <row r="3" spans="1:6">
      <c r="A3" s="12"/>
      <c r="B3" s="14" t="s">
        <v>24</v>
      </c>
      <c r="C3" s="15"/>
    </row>
    <row r="4" spans="1:6">
      <c r="A4" s="12"/>
      <c r="B4" s="16" t="s">
        <v>25</v>
      </c>
      <c r="C4" s="15">
        <f>D21</f>
        <v>1</v>
      </c>
    </row>
    <row r="5" spans="1:6" ht="25">
      <c r="A5" s="12"/>
      <c r="B5" s="16" t="s">
        <v>26</v>
      </c>
      <c r="C5" s="15">
        <f>D21</f>
        <v>1</v>
      </c>
    </row>
    <row r="6" spans="1:6" ht="25">
      <c r="A6" s="12"/>
      <c r="B6" s="16" t="s">
        <v>27</v>
      </c>
      <c r="C6" s="15">
        <v>0</v>
      </c>
    </row>
    <row r="7" spans="1:6">
      <c r="A7" s="12"/>
      <c r="B7" s="16" t="s">
        <v>28</v>
      </c>
      <c r="C7" s="15">
        <v>0</v>
      </c>
    </row>
    <row r="8" spans="1:6">
      <c r="A8" s="12"/>
      <c r="B8" s="16" t="s">
        <v>29</v>
      </c>
      <c r="C8" s="15">
        <v>0</v>
      </c>
    </row>
    <row r="9" spans="1:6">
      <c r="A9" s="12"/>
      <c r="B9" s="16" t="s">
        <v>30</v>
      </c>
      <c r="C9" s="15">
        <v>0</v>
      </c>
    </row>
    <row r="10" spans="1:6" ht="25">
      <c r="A10" s="12"/>
      <c r="B10" s="16" t="s">
        <v>14</v>
      </c>
      <c r="C10" s="15">
        <v>0</v>
      </c>
    </row>
    <row r="11" spans="1:6">
      <c r="A11" s="12"/>
      <c r="B11" s="16" t="s">
        <v>15</v>
      </c>
      <c r="C11" s="15">
        <v>0</v>
      </c>
    </row>
    <row r="12" spans="1:6" ht="25">
      <c r="A12" s="12"/>
      <c r="B12" s="16" t="s">
        <v>31</v>
      </c>
      <c r="C12" s="15">
        <f>D26</f>
        <v>3</v>
      </c>
    </row>
    <row r="13" spans="1:6" ht="25">
      <c r="A13" s="12"/>
      <c r="B13" s="16" t="s">
        <v>32</v>
      </c>
      <c r="C13" s="15">
        <v>0</v>
      </c>
    </row>
    <row r="14" spans="1:6" ht="25">
      <c r="A14" s="12"/>
      <c r="B14" s="16" t="s">
        <v>33</v>
      </c>
      <c r="C14" s="15">
        <v>0</v>
      </c>
    </row>
    <row r="15" spans="1:6">
      <c r="A15" s="12"/>
      <c r="B15" s="16" t="s">
        <v>4</v>
      </c>
      <c r="C15" s="17">
        <f>C4+C6+C7+C8+C9+C10+C11</f>
        <v>1</v>
      </c>
    </row>
    <row r="16" spans="1:6" ht="25">
      <c r="A16" s="12"/>
      <c r="B16" s="16" t="s">
        <v>34</v>
      </c>
      <c r="C16" s="15">
        <v>0</v>
      </c>
    </row>
    <row r="19" spans="1:9">
      <c r="A19" s="42" t="s">
        <v>35</v>
      </c>
      <c r="B19" s="47" t="s">
        <v>36</v>
      </c>
      <c r="C19" s="42" t="s">
        <v>37</v>
      </c>
      <c r="D19" s="42" t="s">
        <v>38</v>
      </c>
      <c r="E19" s="42" t="s">
        <v>39</v>
      </c>
      <c r="F19" s="42" t="s">
        <v>40</v>
      </c>
      <c r="G19" s="42" t="s">
        <v>41</v>
      </c>
      <c r="H19" s="42" t="s">
        <v>42</v>
      </c>
      <c r="I19" s="42" t="s">
        <v>1466</v>
      </c>
    </row>
    <row r="20" spans="1:9" ht="36">
      <c r="A20" s="43">
        <v>1</v>
      </c>
      <c r="B20" s="44" t="s">
        <v>1467</v>
      </c>
      <c r="C20" s="44" t="s">
        <v>1468</v>
      </c>
      <c r="D20" t="s">
        <v>1469</v>
      </c>
      <c r="E20" t="s">
        <v>1470</v>
      </c>
      <c r="F20" t="s">
        <v>1009</v>
      </c>
    </row>
    <row r="21" spans="1:9">
      <c r="A21" s="43"/>
      <c r="B21" s="44"/>
      <c r="C21" s="45" t="s">
        <v>81</v>
      </c>
      <c r="D21" s="42">
        <f>COUNTA(D20)</f>
        <v>1</v>
      </c>
    </row>
    <row r="22" spans="1:9">
      <c r="A22" s="43"/>
      <c r="B22" s="44"/>
      <c r="C22" s="44"/>
    </row>
    <row r="23" spans="1:9" ht="36">
      <c r="A23" s="43">
        <v>2</v>
      </c>
      <c r="B23" s="44" t="s">
        <v>1471</v>
      </c>
      <c r="C23" s="44" t="s">
        <v>1472</v>
      </c>
      <c r="D23" t="s">
        <v>1473</v>
      </c>
      <c r="E23" t="s">
        <v>1470</v>
      </c>
      <c r="F23" t="s">
        <v>1009</v>
      </c>
    </row>
    <row r="24" spans="1:9" ht="90">
      <c r="A24" s="43">
        <v>3</v>
      </c>
      <c r="B24" s="44" t="s">
        <v>1474</v>
      </c>
      <c r="C24" s="46" t="s">
        <v>1475</v>
      </c>
      <c r="D24" t="s">
        <v>1473</v>
      </c>
      <c r="E24" t="s">
        <v>1470</v>
      </c>
      <c r="F24" t="s">
        <v>1009</v>
      </c>
    </row>
    <row r="25" spans="1:9" ht="105">
      <c r="A25" s="43">
        <v>4</v>
      </c>
      <c r="B25" s="44" t="s">
        <v>1476</v>
      </c>
      <c r="C25" s="46" t="s">
        <v>1477</v>
      </c>
      <c r="D25" t="s">
        <v>1473</v>
      </c>
      <c r="E25" t="s">
        <v>1470</v>
      </c>
      <c r="F25" t="s">
        <v>1009</v>
      </c>
    </row>
    <row r="26" spans="1:9">
      <c r="B26" s="40"/>
      <c r="C26" s="45" t="s">
        <v>95</v>
      </c>
      <c r="D26" s="42">
        <f>COUNTA(D23:D25)</f>
        <v>3</v>
      </c>
    </row>
  </sheetData>
  <hyperlinks>
    <hyperlink ref="A20" r:id="rId1" display="http://www.westlaw.com/Find/Default.wl?rs=dfa1.0&amp;vr=2.0&amp;DB=350&amp;FindType=Y&amp;SerialNum=1990136440"/>
    <hyperlink ref="A23" r:id="rId2" display="http://www.westlaw.com/Find/Default.wl?rs=dfa1.0&amp;vr=2.0&amp;DB=350&amp;FindType=Y&amp;SerialNum=1990129429"/>
    <hyperlink ref="A24" r:id="rId3" display="http://www.westlaw.com/Find/Default.wl?rs=dfa1.0&amp;vr=2.0&amp;DB=350&amp;FindType=Y&amp;SerialNum=1990125986"/>
    <hyperlink ref="A25" r:id="rId4" display="http://www.westlaw.com/Find/Default.wl?rs=dfa1.0&amp;vr=2.0&amp;DB=350&amp;FindType=Y&amp;SerialNum=1990108700"/>
  </hyperlink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4"/>
  <sheetViews>
    <sheetView zoomScale="70" zoomScaleNormal="70" zoomScalePageLayoutView="70" workbookViewId="0"/>
  </sheetViews>
  <sheetFormatPr baseColWidth="10" defaultColWidth="8.83203125" defaultRowHeight="14" x14ac:dyDescent="0"/>
  <cols>
    <col min="1" max="1" width="14.5" bestFit="1" customWidth="1"/>
    <col min="2" max="2" width="44.5" customWidth="1"/>
    <col min="3" max="3" width="13" customWidth="1"/>
    <col min="4" max="4" width="15" customWidth="1"/>
    <col min="5" max="5" width="18" customWidth="1"/>
    <col min="6" max="6" width="21" customWidth="1"/>
    <col min="7" max="7" width="13.1640625" customWidth="1"/>
    <col min="8" max="8" width="13.5" bestFit="1" customWidth="1"/>
    <col min="9" max="9" width="9" customWidth="1"/>
    <col min="10" max="10" width="10" customWidth="1"/>
    <col min="11" max="11" width="35.83203125" customWidth="1"/>
    <col min="12" max="12" width="13" customWidth="1"/>
    <col min="13" max="14" width="10" customWidth="1"/>
    <col min="15" max="15" width="14" customWidth="1"/>
    <col min="16" max="16" width="12" customWidth="1"/>
    <col min="17" max="17" width="34.5" bestFit="1" customWidth="1"/>
    <col min="18" max="18" width="32" customWidth="1"/>
    <col min="19" max="19" width="10" customWidth="1"/>
  </cols>
  <sheetData>
    <row r="1" spans="1:21" ht="37">
      <c r="A1" s="3" t="s">
        <v>5</v>
      </c>
      <c r="B1" s="3" t="s">
        <v>977</v>
      </c>
      <c r="C1" s="3" t="s">
        <v>7</v>
      </c>
      <c r="D1" s="3" t="s">
        <v>8</v>
      </c>
      <c r="E1" s="3" t="s">
        <v>9</v>
      </c>
      <c r="F1" s="3" t="s">
        <v>10</v>
      </c>
      <c r="G1" s="3" t="s">
        <v>14</v>
      </c>
      <c r="H1" s="3" t="s">
        <v>15</v>
      </c>
      <c r="I1" s="3" t="s">
        <v>978</v>
      </c>
      <c r="J1" s="3" t="s">
        <v>11</v>
      </c>
      <c r="K1" s="3" t="s">
        <v>979</v>
      </c>
      <c r="L1" s="4" t="s">
        <v>980</v>
      </c>
    </row>
    <row r="2" spans="1:21">
      <c r="A2">
        <f>COUNTA(Q5:Q10)</f>
        <v>6</v>
      </c>
      <c r="B2">
        <f>COUNTA(U5:U7)</f>
        <v>3</v>
      </c>
      <c r="C2">
        <v>0</v>
      </c>
      <c r="D2">
        <f>COUNTA(Q26)</f>
        <v>1</v>
      </c>
      <c r="E2">
        <f>COUNTA(Q19:Q23)</f>
        <v>5</v>
      </c>
      <c r="F2">
        <f>COUNTA(Q13:Q16)</f>
        <v>4</v>
      </c>
      <c r="I2">
        <f>COUNTA(R29:R80)</f>
        <v>52</v>
      </c>
      <c r="J2">
        <f>COUNTA(B83:B89)</f>
        <v>7</v>
      </c>
      <c r="K2">
        <v>0</v>
      </c>
      <c r="L2">
        <f>F204</f>
        <v>110</v>
      </c>
    </row>
    <row r="4" spans="1:21" ht="84">
      <c r="A4" s="37" t="s">
        <v>981</v>
      </c>
      <c r="B4" s="37" t="s">
        <v>982</v>
      </c>
      <c r="C4" s="38" t="s">
        <v>983</v>
      </c>
      <c r="D4" s="38" t="s">
        <v>984</v>
      </c>
      <c r="E4" s="38" t="s">
        <v>985</v>
      </c>
      <c r="F4" s="38" t="s">
        <v>986</v>
      </c>
      <c r="G4" s="37" t="s">
        <v>987</v>
      </c>
      <c r="H4" s="37" t="s">
        <v>988</v>
      </c>
      <c r="I4" s="38" t="s">
        <v>989</v>
      </c>
      <c r="J4" s="38" t="s">
        <v>990</v>
      </c>
      <c r="K4" s="38" t="s">
        <v>991</v>
      </c>
      <c r="L4" s="37" t="s">
        <v>992</v>
      </c>
      <c r="M4" s="37" t="s">
        <v>993</v>
      </c>
      <c r="N4" s="37" t="s">
        <v>994</v>
      </c>
      <c r="O4" s="37" t="s">
        <v>995</v>
      </c>
      <c r="P4" s="38" t="s">
        <v>996</v>
      </c>
      <c r="Q4" s="37" t="s">
        <v>997</v>
      </c>
      <c r="R4" s="37" t="s">
        <v>998</v>
      </c>
      <c r="S4" s="37" t="s">
        <v>999</v>
      </c>
      <c r="T4" s="37" t="s">
        <v>1000</v>
      </c>
      <c r="U4" s="37" t="s">
        <v>1001</v>
      </c>
    </row>
    <row r="5" spans="1:21">
      <c r="A5" s="39">
        <v>39062</v>
      </c>
      <c r="B5">
        <v>1</v>
      </c>
      <c r="C5" s="40" t="s">
        <v>1841</v>
      </c>
      <c r="D5" s="40" t="s">
        <v>1842</v>
      </c>
      <c r="E5" s="40" t="s">
        <v>1843</v>
      </c>
      <c r="F5" s="40" t="s">
        <v>1844</v>
      </c>
      <c r="G5">
        <v>2006</v>
      </c>
      <c r="H5">
        <v>1702</v>
      </c>
      <c r="I5" s="40" t="s">
        <v>1005</v>
      </c>
      <c r="J5" s="40" t="s">
        <v>1845</v>
      </c>
      <c r="K5" s="40" t="s">
        <v>1846</v>
      </c>
      <c r="L5" s="39">
        <v>38994</v>
      </c>
      <c r="M5">
        <v>7</v>
      </c>
      <c r="N5">
        <v>0</v>
      </c>
      <c r="O5">
        <v>111</v>
      </c>
      <c r="P5" s="40" t="s">
        <v>1008</v>
      </c>
      <c r="Q5">
        <v>1</v>
      </c>
      <c r="R5">
        <v>2</v>
      </c>
      <c r="S5">
        <v>2</v>
      </c>
      <c r="T5" t="s">
        <v>1009</v>
      </c>
      <c r="U5" t="s">
        <v>1010</v>
      </c>
    </row>
    <row r="6" spans="1:21">
      <c r="A6" s="39">
        <v>39141</v>
      </c>
      <c r="B6">
        <v>1</v>
      </c>
      <c r="C6" s="40" t="s">
        <v>1847</v>
      </c>
      <c r="D6" s="40" t="s">
        <v>1848</v>
      </c>
      <c r="E6" s="40" t="s">
        <v>1849</v>
      </c>
      <c r="F6" s="40" t="s">
        <v>1850</v>
      </c>
      <c r="G6">
        <v>2006</v>
      </c>
      <c r="H6">
        <v>1702</v>
      </c>
      <c r="I6" s="40" t="s">
        <v>1005</v>
      </c>
      <c r="J6" s="40" t="s">
        <v>1851</v>
      </c>
      <c r="K6" s="40" t="s">
        <v>1852</v>
      </c>
      <c r="L6" s="39">
        <v>39022</v>
      </c>
      <c r="M6">
        <v>9</v>
      </c>
      <c r="N6">
        <v>0</v>
      </c>
      <c r="O6">
        <v>111</v>
      </c>
      <c r="P6" s="40" t="s">
        <v>1008</v>
      </c>
      <c r="Q6">
        <v>1</v>
      </c>
      <c r="R6">
        <v>2</v>
      </c>
      <c r="S6">
        <v>2</v>
      </c>
      <c r="T6" t="s">
        <v>1009</v>
      </c>
      <c r="U6" t="s">
        <v>1010</v>
      </c>
    </row>
    <row r="7" spans="1:21">
      <c r="A7" s="39">
        <v>39161</v>
      </c>
      <c r="B7">
        <v>1</v>
      </c>
      <c r="C7" s="40" t="s">
        <v>1853</v>
      </c>
      <c r="D7" s="40" t="s">
        <v>1854</v>
      </c>
      <c r="E7" s="40" t="s">
        <v>1855</v>
      </c>
      <c r="F7" s="40" t="s">
        <v>1856</v>
      </c>
      <c r="G7">
        <v>2006</v>
      </c>
      <c r="H7">
        <v>1702</v>
      </c>
      <c r="I7" s="40" t="s">
        <v>1005</v>
      </c>
      <c r="J7" s="40" t="s">
        <v>1857</v>
      </c>
      <c r="K7" s="40" t="s">
        <v>1858</v>
      </c>
      <c r="L7" s="39">
        <v>39098</v>
      </c>
      <c r="M7">
        <v>9</v>
      </c>
      <c r="N7">
        <v>0</v>
      </c>
      <c r="O7">
        <v>111</v>
      </c>
      <c r="P7" s="40" t="s">
        <v>1008</v>
      </c>
      <c r="Q7">
        <v>1</v>
      </c>
      <c r="R7">
        <v>2</v>
      </c>
      <c r="S7">
        <v>2</v>
      </c>
      <c r="T7" t="s">
        <v>1009</v>
      </c>
      <c r="U7" t="s">
        <v>1010</v>
      </c>
    </row>
    <row r="8" spans="1:21">
      <c r="A8" s="39">
        <v>39190</v>
      </c>
      <c r="B8">
        <v>1</v>
      </c>
      <c r="C8" s="40" t="s">
        <v>1859</v>
      </c>
      <c r="D8" s="40" t="s">
        <v>1860</v>
      </c>
      <c r="E8" s="40" t="s">
        <v>1861</v>
      </c>
      <c r="F8" s="40" t="s">
        <v>1862</v>
      </c>
      <c r="G8">
        <v>2006</v>
      </c>
      <c r="H8">
        <v>1702</v>
      </c>
      <c r="I8" s="40" t="s">
        <v>1005</v>
      </c>
      <c r="J8" s="40" t="s">
        <v>1863</v>
      </c>
      <c r="K8" s="40" t="s">
        <v>1864</v>
      </c>
      <c r="L8" s="39">
        <v>39028</v>
      </c>
      <c r="M8">
        <v>5</v>
      </c>
      <c r="N8">
        <v>4</v>
      </c>
      <c r="O8">
        <v>111</v>
      </c>
      <c r="P8" s="40" t="s">
        <v>1008</v>
      </c>
      <c r="Q8">
        <v>1</v>
      </c>
      <c r="R8">
        <v>2</v>
      </c>
      <c r="S8">
        <v>2</v>
      </c>
      <c r="T8" t="s">
        <v>49</v>
      </c>
      <c r="U8" t="s">
        <v>49</v>
      </c>
    </row>
    <row r="9" spans="1:21">
      <c r="A9" s="39">
        <v>39231</v>
      </c>
      <c r="B9">
        <v>1</v>
      </c>
      <c r="C9" s="40" t="s">
        <v>1865</v>
      </c>
      <c r="D9" s="40" t="s">
        <v>1866</v>
      </c>
      <c r="E9" s="40" t="s">
        <v>1867</v>
      </c>
      <c r="F9" s="40" t="s">
        <v>1868</v>
      </c>
      <c r="G9">
        <v>2006</v>
      </c>
      <c r="H9">
        <v>1702</v>
      </c>
      <c r="I9" s="40" t="s">
        <v>1005</v>
      </c>
      <c r="J9" s="40" t="s">
        <v>1869</v>
      </c>
      <c r="K9" s="40" t="s">
        <v>1870</v>
      </c>
      <c r="L9" s="39">
        <v>39048</v>
      </c>
      <c r="M9">
        <v>5</v>
      </c>
      <c r="N9">
        <v>4</v>
      </c>
      <c r="O9">
        <v>111</v>
      </c>
      <c r="P9" s="40" t="s">
        <v>1008</v>
      </c>
      <c r="Q9">
        <v>1</v>
      </c>
      <c r="R9">
        <v>2</v>
      </c>
      <c r="S9">
        <v>2</v>
      </c>
      <c r="T9" t="s">
        <v>49</v>
      </c>
      <c r="U9" t="s">
        <v>49</v>
      </c>
    </row>
    <row r="10" spans="1:21">
      <c r="A10" s="39">
        <v>39258</v>
      </c>
      <c r="B10">
        <v>1</v>
      </c>
      <c r="C10" s="40" t="s">
        <v>1871</v>
      </c>
      <c r="D10" s="40" t="s">
        <v>1872</v>
      </c>
      <c r="E10" s="40" t="s">
        <v>1873</v>
      </c>
      <c r="F10" s="40" t="s">
        <v>1874</v>
      </c>
      <c r="G10">
        <v>2006</v>
      </c>
      <c r="H10">
        <v>1702</v>
      </c>
      <c r="I10" s="40" t="s">
        <v>1005</v>
      </c>
      <c r="J10" s="40" t="s">
        <v>1875</v>
      </c>
      <c r="K10" s="40" t="s">
        <v>1876</v>
      </c>
      <c r="L10" s="39">
        <v>39189</v>
      </c>
      <c r="M10">
        <v>5</v>
      </c>
      <c r="N10">
        <v>4</v>
      </c>
      <c r="O10">
        <v>111</v>
      </c>
      <c r="P10" s="40" t="s">
        <v>1008</v>
      </c>
      <c r="Q10">
        <v>1</v>
      </c>
      <c r="R10">
        <v>2</v>
      </c>
      <c r="S10">
        <v>2</v>
      </c>
      <c r="T10" t="s">
        <v>49</v>
      </c>
      <c r="U10" t="s">
        <v>49</v>
      </c>
    </row>
    <row r="11" spans="1:21">
      <c r="A11" s="39"/>
      <c r="C11" s="40"/>
      <c r="D11" s="40"/>
      <c r="E11" s="40"/>
      <c r="F11" s="40"/>
      <c r="I11" s="40"/>
      <c r="J11" s="40"/>
      <c r="K11" s="40"/>
      <c r="L11" s="39"/>
      <c r="P11" s="40"/>
    </row>
    <row r="12" spans="1:21">
      <c r="A12" s="39"/>
      <c r="C12" s="40"/>
      <c r="D12" s="40"/>
      <c r="E12" s="40"/>
      <c r="F12" s="40"/>
      <c r="I12" s="40"/>
      <c r="J12" s="40"/>
      <c r="K12" s="40"/>
      <c r="L12" s="39"/>
      <c r="P12" s="40"/>
    </row>
    <row r="13" spans="1:21">
      <c r="A13" s="39">
        <v>39104</v>
      </c>
      <c r="B13">
        <v>1</v>
      </c>
      <c r="C13" s="40" t="s">
        <v>1877</v>
      </c>
      <c r="D13" s="40" t="s">
        <v>1878</v>
      </c>
      <c r="E13" s="40" t="s">
        <v>1879</v>
      </c>
      <c r="F13" s="40" t="s">
        <v>1880</v>
      </c>
      <c r="G13">
        <v>2006</v>
      </c>
      <c r="H13">
        <v>1702</v>
      </c>
      <c r="I13" s="40" t="s">
        <v>1005</v>
      </c>
      <c r="J13" s="40" t="s">
        <v>1881</v>
      </c>
      <c r="K13" s="40" t="s">
        <v>1882</v>
      </c>
      <c r="L13" s="39">
        <v>39001</v>
      </c>
      <c r="M13">
        <v>6</v>
      </c>
      <c r="N13">
        <v>3</v>
      </c>
      <c r="O13">
        <v>111</v>
      </c>
      <c r="P13" s="40" t="s">
        <v>1008</v>
      </c>
      <c r="Q13">
        <v>2</v>
      </c>
      <c r="R13">
        <v>2</v>
      </c>
      <c r="S13">
        <v>1</v>
      </c>
    </row>
    <row r="14" spans="1:21">
      <c r="A14" s="39">
        <v>39134</v>
      </c>
      <c r="B14">
        <v>1</v>
      </c>
      <c r="C14" s="40" t="s">
        <v>1883</v>
      </c>
      <c r="D14" s="40" t="s">
        <v>1884</v>
      </c>
      <c r="E14" s="40" t="s">
        <v>1885</v>
      </c>
      <c r="F14" s="40" t="s">
        <v>1886</v>
      </c>
      <c r="G14">
        <v>2006</v>
      </c>
      <c r="H14">
        <v>1702</v>
      </c>
      <c r="I14" s="40" t="s">
        <v>1005</v>
      </c>
      <c r="J14" s="40" t="s">
        <v>1887</v>
      </c>
      <c r="K14" s="40" t="s">
        <v>1888</v>
      </c>
      <c r="L14" s="39">
        <v>39027</v>
      </c>
      <c r="M14">
        <v>5</v>
      </c>
      <c r="N14">
        <v>4</v>
      </c>
      <c r="O14">
        <v>111</v>
      </c>
      <c r="P14" s="40" t="s">
        <v>1008</v>
      </c>
      <c r="Q14">
        <v>2</v>
      </c>
      <c r="R14">
        <v>2</v>
      </c>
      <c r="S14">
        <v>1</v>
      </c>
    </row>
    <row r="15" spans="1:21">
      <c r="A15" s="39">
        <v>39197</v>
      </c>
      <c r="B15">
        <v>1</v>
      </c>
      <c r="C15" s="40" t="s">
        <v>1889</v>
      </c>
      <c r="D15" s="40" t="s">
        <v>1890</v>
      </c>
      <c r="E15" s="40" t="s">
        <v>1891</v>
      </c>
      <c r="F15" s="40" t="s">
        <v>1892</v>
      </c>
      <c r="G15">
        <v>2006</v>
      </c>
      <c r="H15">
        <v>1702</v>
      </c>
      <c r="I15" s="40" t="s">
        <v>1005</v>
      </c>
      <c r="J15" s="40" t="s">
        <v>1893</v>
      </c>
      <c r="K15" s="40" t="s">
        <v>1894</v>
      </c>
      <c r="L15" s="39">
        <v>39099</v>
      </c>
      <c r="M15">
        <v>5</v>
      </c>
      <c r="N15">
        <v>4</v>
      </c>
      <c r="O15">
        <v>111</v>
      </c>
      <c r="P15" s="40" t="s">
        <v>1008</v>
      </c>
      <c r="Q15">
        <v>2</v>
      </c>
      <c r="R15">
        <v>2</v>
      </c>
      <c r="S15">
        <v>1</v>
      </c>
    </row>
    <row r="16" spans="1:21">
      <c r="A16" s="39">
        <v>39202</v>
      </c>
      <c r="B16">
        <v>1</v>
      </c>
      <c r="C16" s="40" t="s">
        <v>1895</v>
      </c>
      <c r="D16" s="40" t="s">
        <v>1896</v>
      </c>
      <c r="E16" s="40" t="s">
        <v>1897</v>
      </c>
      <c r="F16" s="40" t="s">
        <v>1898</v>
      </c>
      <c r="G16">
        <v>2006</v>
      </c>
      <c r="H16">
        <v>1702</v>
      </c>
      <c r="I16" s="40" t="s">
        <v>1005</v>
      </c>
      <c r="J16" s="40" t="s">
        <v>1899</v>
      </c>
      <c r="K16" s="40" t="s">
        <v>1900</v>
      </c>
      <c r="L16" s="39">
        <v>39090</v>
      </c>
      <c r="M16">
        <v>6</v>
      </c>
      <c r="N16">
        <v>3</v>
      </c>
      <c r="O16">
        <v>111</v>
      </c>
      <c r="P16" s="40" t="s">
        <v>1008</v>
      </c>
      <c r="Q16">
        <v>2</v>
      </c>
      <c r="R16">
        <v>2</v>
      </c>
      <c r="S16">
        <v>1</v>
      </c>
    </row>
    <row r="17" spans="1:19">
      <c r="A17" s="39"/>
      <c r="C17" s="40"/>
      <c r="D17" s="40"/>
      <c r="E17" s="40"/>
      <c r="F17" s="40"/>
      <c r="I17" s="40"/>
      <c r="J17" s="40"/>
      <c r="K17" s="40"/>
      <c r="L17" s="39"/>
      <c r="P17" s="40"/>
    </row>
    <row r="18" spans="1:19">
      <c r="A18" s="39"/>
      <c r="C18" s="40"/>
      <c r="D18" s="40"/>
      <c r="E18" s="40"/>
      <c r="F18" s="40"/>
      <c r="I18" s="40"/>
      <c r="J18" s="40"/>
      <c r="K18" s="40"/>
      <c r="L18" s="39"/>
      <c r="P18" s="40"/>
    </row>
    <row r="19" spans="1:19">
      <c r="A19" s="39">
        <v>39092</v>
      </c>
      <c r="B19">
        <v>1</v>
      </c>
      <c r="C19" s="40" t="s">
        <v>1901</v>
      </c>
      <c r="D19" s="40" t="s">
        <v>1902</v>
      </c>
      <c r="E19" s="40" t="s">
        <v>1903</v>
      </c>
      <c r="F19" s="40" t="s">
        <v>1904</v>
      </c>
      <c r="G19">
        <v>2006</v>
      </c>
      <c r="H19">
        <v>1702</v>
      </c>
      <c r="I19" s="40" t="s">
        <v>1005</v>
      </c>
      <c r="J19" s="40" t="s">
        <v>1905</v>
      </c>
      <c r="K19" s="40" t="s">
        <v>1906</v>
      </c>
      <c r="L19" s="39">
        <v>39000</v>
      </c>
      <c r="M19">
        <v>9</v>
      </c>
      <c r="N19">
        <v>0</v>
      </c>
      <c r="O19">
        <v>111</v>
      </c>
      <c r="P19" s="40" t="s">
        <v>1008</v>
      </c>
      <c r="Q19">
        <v>3</v>
      </c>
      <c r="R19">
        <v>2</v>
      </c>
      <c r="S19">
        <v>2</v>
      </c>
    </row>
    <row r="20" spans="1:19">
      <c r="A20" s="39">
        <v>39258</v>
      </c>
      <c r="B20">
        <v>1</v>
      </c>
      <c r="C20" s="40" t="s">
        <v>1907</v>
      </c>
      <c r="D20" s="40" t="s">
        <v>1908</v>
      </c>
      <c r="E20" s="40" t="s">
        <v>1909</v>
      </c>
      <c r="F20" s="40" t="s">
        <v>1910</v>
      </c>
      <c r="G20">
        <v>2006</v>
      </c>
      <c r="H20">
        <v>1702</v>
      </c>
      <c r="I20" s="40" t="s">
        <v>1005</v>
      </c>
      <c r="J20" s="40" t="s">
        <v>1911</v>
      </c>
      <c r="K20" s="40" t="s">
        <v>1912</v>
      </c>
      <c r="L20" s="39">
        <v>39160</v>
      </c>
      <c r="M20">
        <v>5</v>
      </c>
      <c r="N20">
        <v>4</v>
      </c>
      <c r="O20">
        <v>111</v>
      </c>
      <c r="P20" s="40" t="s">
        <v>1008</v>
      </c>
      <c r="Q20">
        <v>3</v>
      </c>
      <c r="R20">
        <v>2</v>
      </c>
      <c r="S20">
        <v>2</v>
      </c>
    </row>
    <row r="21" spans="1:19">
      <c r="A21" s="39">
        <v>39258</v>
      </c>
      <c r="B21">
        <v>1</v>
      </c>
      <c r="C21" s="40" t="s">
        <v>1913</v>
      </c>
      <c r="D21" s="40" t="s">
        <v>1914</v>
      </c>
      <c r="E21" s="40" t="s">
        <v>1915</v>
      </c>
      <c r="F21" s="40" t="s">
        <v>1916</v>
      </c>
      <c r="G21">
        <v>2006</v>
      </c>
      <c r="H21">
        <v>1702</v>
      </c>
      <c r="I21" s="40" t="s">
        <v>1005</v>
      </c>
      <c r="J21" s="40" t="s">
        <v>1917</v>
      </c>
      <c r="K21" s="40" t="s">
        <v>1918</v>
      </c>
      <c r="L21" s="39">
        <v>39197</v>
      </c>
      <c r="M21">
        <v>5</v>
      </c>
      <c r="N21">
        <v>4</v>
      </c>
      <c r="O21">
        <v>111</v>
      </c>
      <c r="P21" s="40" t="s">
        <v>1008</v>
      </c>
      <c r="Q21">
        <v>3</v>
      </c>
      <c r="R21">
        <v>2</v>
      </c>
      <c r="S21">
        <v>2</v>
      </c>
    </row>
    <row r="22" spans="1:19">
      <c r="A22" s="39">
        <v>39254</v>
      </c>
      <c r="B22">
        <v>1</v>
      </c>
      <c r="C22" s="40" t="s">
        <v>1919</v>
      </c>
      <c r="D22" s="40" t="s">
        <v>1920</v>
      </c>
      <c r="E22" s="40" t="s">
        <v>1921</v>
      </c>
      <c r="F22" s="40" t="s">
        <v>1922</v>
      </c>
      <c r="G22">
        <v>2006</v>
      </c>
      <c r="H22">
        <v>1702</v>
      </c>
      <c r="I22" s="40" t="s">
        <v>1005</v>
      </c>
      <c r="J22" s="40" t="s">
        <v>1923</v>
      </c>
      <c r="K22" s="40" t="s">
        <v>1924</v>
      </c>
      <c r="L22" s="39">
        <v>39169</v>
      </c>
      <c r="M22">
        <v>8</v>
      </c>
      <c r="N22">
        <v>1</v>
      </c>
      <c r="O22">
        <v>111</v>
      </c>
      <c r="P22" s="40" t="s">
        <v>1008</v>
      </c>
      <c r="Q22">
        <v>4</v>
      </c>
      <c r="R22">
        <v>2</v>
      </c>
      <c r="S22">
        <v>2</v>
      </c>
    </row>
    <row r="23" spans="1:19">
      <c r="A23" s="39">
        <v>39202</v>
      </c>
      <c r="B23">
        <v>1</v>
      </c>
      <c r="C23" s="40" t="s">
        <v>1925</v>
      </c>
      <c r="D23" s="40" t="s">
        <v>1926</v>
      </c>
      <c r="E23" s="40" t="s">
        <v>1927</v>
      </c>
      <c r="F23" s="40" t="s">
        <v>1928</v>
      </c>
      <c r="G23">
        <v>2006</v>
      </c>
      <c r="H23">
        <v>1702</v>
      </c>
      <c r="I23" s="40" t="s">
        <v>1005</v>
      </c>
      <c r="J23" s="40" t="s">
        <v>1929</v>
      </c>
      <c r="K23" s="40" t="s">
        <v>1930</v>
      </c>
      <c r="L23" s="39">
        <v>39134</v>
      </c>
      <c r="M23">
        <v>7</v>
      </c>
      <c r="N23">
        <v>1</v>
      </c>
      <c r="O23">
        <v>111</v>
      </c>
      <c r="P23" s="40" t="s">
        <v>1008</v>
      </c>
      <c r="Q23">
        <v>1</v>
      </c>
      <c r="R23">
        <v>2</v>
      </c>
      <c r="S23">
        <v>2</v>
      </c>
    </row>
    <row r="24" spans="1:19">
      <c r="A24" s="39"/>
      <c r="C24" s="40"/>
      <c r="D24" s="40"/>
      <c r="E24" s="40"/>
      <c r="F24" s="40"/>
      <c r="I24" s="40"/>
      <c r="J24" s="40"/>
      <c r="K24" s="40"/>
      <c r="L24" s="39"/>
      <c r="P24" s="40"/>
    </row>
    <row r="25" spans="1:19">
      <c r="A25" s="39"/>
      <c r="C25" s="40"/>
      <c r="D25" s="40"/>
      <c r="E25" s="40"/>
      <c r="F25" s="40"/>
      <c r="I25" s="40"/>
      <c r="J25" s="40"/>
      <c r="K25" s="40"/>
      <c r="L25" s="39"/>
      <c r="P25" s="40"/>
    </row>
    <row r="26" spans="1:19">
      <c r="A26" s="39">
        <v>39258</v>
      </c>
      <c r="B26">
        <v>7</v>
      </c>
      <c r="C26" s="40" t="s">
        <v>1931</v>
      </c>
      <c r="D26" s="40" t="s">
        <v>1932</v>
      </c>
      <c r="E26" s="40" t="s">
        <v>1933</v>
      </c>
      <c r="F26" s="40" t="s">
        <v>1934</v>
      </c>
      <c r="G26">
        <v>2006</v>
      </c>
      <c r="H26">
        <v>1702</v>
      </c>
      <c r="I26" s="40" t="s">
        <v>1005</v>
      </c>
      <c r="J26" s="40" t="s">
        <v>1935</v>
      </c>
      <c r="K26" s="40" t="s">
        <v>1936</v>
      </c>
      <c r="L26" s="39">
        <v>39138</v>
      </c>
      <c r="M26">
        <v>5</v>
      </c>
      <c r="N26">
        <v>4</v>
      </c>
      <c r="O26">
        <v>111</v>
      </c>
      <c r="P26" s="40" t="s">
        <v>1008</v>
      </c>
      <c r="Q26">
        <v>5</v>
      </c>
      <c r="R26">
        <v>2</v>
      </c>
      <c r="S26">
        <v>2</v>
      </c>
    </row>
    <row r="27" spans="1:19">
      <c r="A27" s="39"/>
      <c r="C27" s="40"/>
      <c r="D27" s="40"/>
      <c r="E27" s="40"/>
      <c r="F27" s="40"/>
      <c r="I27" s="40"/>
      <c r="J27" s="40"/>
      <c r="K27" s="40"/>
      <c r="L27" s="39"/>
      <c r="P27" s="40"/>
    </row>
    <row r="28" spans="1:19">
      <c r="A28" s="39"/>
      <c r="C28" s="40"/>
      <c r="D28" s="40"/>
      <c r="E28" s="40"/>
      <c r="F28" s="40"/>
      <c r="I28" s="40"/>
      <c r="J28" s="40"/>
      <c r="K28" s="40"/>
      <c r="L28" s="39"/>
      <c r="P28" s="40"/>
    </row>
    <row r="29" spans="1:19">
      <c r="A29" s="39">
        <v>39003</v>
      </c>
      <c r="B29">
        <v>1</v>
      </c>
      <c r="C29" s="40" t="s">
        <v>1937</v>
      </c>
      <c r="D29" s="40" t="s">
        <v>1938</v>
      </c>
      <c r="E29" s="40" t="s">
        <v>1939</v>
      </c>
      <c r="F29" s="40" t="s">
        <v>1940</v>
      </c>
      <c r="G29">
        <v>2006</v>
      </c>
      <c r="H29">
        <v>1702</v>
      </c>
      <c r="I29" s="40" t="s">
        <v>1005</v>
      </c>
      <c r="J29" s="40" t="s">
        <v>1941</v>
      </c>
      <c r="K29" s="40" t="s">
        <v>1942</v>
      </c>
      <c r="L29" s="39">
        <v>38993</v>
      </c>
      <c r="M29">
        <v>5</v>
      </c>
      <c r="N29">
        <v>4</v>
      </c>
      <c r="O29">
        <v>111</v>
      </c>
      <c r="P29" s="40" t="s">
        <v>1008</v>
      </c>
      <c r="Q29">
        <v>1</v>
      </c>
      <c r="R29">
        <v>1</v>
      </c>
      <c r="S29">
        <v>2</v>
      </c>
    </row>
    <row r="30" spans="1:19">
      <c r="A30" s="39">
        <v>39056</v>
      </c>
      <c r="B30">
        <v>1</v>
      </c>
      <c r="C30" s="40" t="s">
        <v>1943</v>
      </c>
      <c r="D30" s="40" t="s">
        <v>1944</v>
      </c>
      <c r="E30" s="40" t="s">
        <v>1945</v>
      </c>
      <c r="F30" s="40" t="s">
        <v>1946</v>
      </c>
      <c r="G30">
        <v>2006</v>
      </c>
      <c r="H30">
        <v>1702</v>
      </c>
      <c r="I30" s="40" t="s">
        <v>1005</v>
      </c>
      <c r="J30" s="40" t="s">
        <v>1947</v>
      </c>
      <c r="K30" s="40" t="s">
        <v>1948</v>
      </c>
      <c r="L30" s="39">
        <v>38993</v>
      </c>
      <c r="M30">
        <v>8</v>
      </c>
      <c r="N30">
        <v>1</v>
      </c>
      <c r="O30">
        <v>111</v>
      </c>
      <c r="P30" s="40" t="s">
        <v>1008</v>
      </c>
      <c r="Q30">
        <v>1</v>
      </c>
      <c r="R30">
        <v>1</v>
      </c>
      <c r="S30">
        <v>2</v>
      </c>
    </row>
    <row r="31" spans="1:19">
      <c r="A31" s="39">
        <v>39062</v>
      </c>
      <c r="B31">
        <v>1</v>
      </c>
      <c r="C31" s="40" t="s">
        <v>1949</v>
      </c>
      <c r="D31" s="40" t="s">
        <v>1950</v>
      </c>
      <c r="E31" s="40" t="s">
        <v>1951</v>
      </c>
      <c r="F31" s="40" t="s">
        <v>1952</v>
      </c>
      <c r="G31">
        <v>2006</v>
      </c>
      <c r="H31">
        <v>1702</v>
      </c>
      <c r="I31" s="40" t="s">
        <v>1005</v>
      </c>
      <c r="J31" s="40" t="s">
        <v>1953</v>
      </c>
      <c r="K31" s="40" t="s">
        <v>1954</v>
      </c>
      <c r="L31" s="39">
        <v>39001</v>
      </c>
      <c r="M31">
        <v>9</v>
      </c>
      <c r="N31">
        <v>0</v>
      </c>
      <c r="O31">
        <v>111</v>
      </c>
      <c r="P31" s="40" t="s">
        <v>1008</v>
      </c>
      <c r="Q31">
        <v>1</v>
      </c>
      <c r="R31">
        <v>1</v>
      </c>
      <c r="S31">
        <v>2</v>
      </c>
    </row>
    <row r="32" spans="1:19">
      <c r="A32" s="39">
        <v>39101</v>
      </c>
      <c r="B32">
        <v>1</v>
      </c>
      <c r="C32" s="40" t="s">
        <v>1955</v>
      </c>
      <c r="D32" s="40" t="s">
        <v>1956</v>
      </c>
      <c r="E32" s="40" t="s">
        <v>1957</v>
      </c>
      <c r="F32" s="40" t="s">
        <v>1958</v>
      </c>
      <c r="G32">
        <v>2006</v>
      </c>
      <c r="H32">
        <v>1702</v>
      </c>
      <c r="I32" s="40" t="s">
        <v>1005</v>
      </c>
      <c r="J32" s="40" t="s">
        <v>1959</v>
      </c>
      <c r="K32" s="40" t="s">
        <v>1960</v>
      </c>
      <c r="L32" s="39">
        <v>39000</v>
      </c>
      <c r="M32">
        <v>8</v>
      </c>
      <c r="N32">
        <v>1</v>
      </c>
      <c r="O32">
        <v>111</v>
      </c>
      <c r="P32" s="40" t="s">
        <v>1008</v>
      </c>
      <c r="Q32">
        <v>1</v>
      </c>
      <c r="R32">
        <v>1</v>
      </c>
      <c r="S32">
        <v>2</v>
      </c>
    </row>
    <row r="33" spans="1:19">
      <c r="A33" s="39">
        <v>39091</v>
      </c>
      <c r="B33">
        <v>1</v>
      </c>
      <c r="C33" s="40" t="s">
        <v>1961</v>
      </c>
      <c r="D33" s="40" t="s">
        <v>1962</v>
      </c>
      <c r="E33" s="40" t="s">
        <v>1963</v>
      </c>
      <c r="F33" s="40" t="s">
        <v>1964</v>
      </c>
      <c r="G33">
        <v>2006</v>
      </c>
      <c r="H33">
        <v>1702</v>
      </c>
      <c r="I33" s="40" t="s">
        <v>1005</v>
      </c>
      <c r="J33" s="40" t="s">
        <v>1965</v>
      </c>
      <c r="K33" s="40" t="s">
        <v>1966</v>
      </c>
      <c r="L33" s="39">
        <v>38994</v>
      </c>
      <c r="M33">
        <v>8</v>
      </c>
      <c r="N33">
        <v>1</v>
      </c>
      <c r="O33">
        <v>111</v>
      </c>
      <c r="P33" s="40" t="s">
        <v>1008</v>
      </c>
      <c r="Q33">
        <v>1</v>
      </c>
      <c r="R33">
        <v>1</v>
      </c>
      <c r="S33">
        <v>2</v>
      </c>
    </row>
    <row r="34" spans="1:19">
      <c r="A34" s="39">
        <v>39099</v>
      </c>
      <c r="B34">
        <v>1</v>
      </c>
      <c r="C34" s="40" t="s">
        <v>1967</v>
      </c>
      <c r="D34" s="40" t="s">
        <v>1968</v>
      </c>
      <c r="E34" s="40" t="s">
        <v>1969</v>
      </c>
      <c r="F34" s="40" t="s">
        <v>1970</v>
      </c>
      <c r="G34">
        <v>2006</v>
      </c>
      <c r="H34">
        <v>1702</v>
      </c>
      <c r="I34" s="40" t="s">
        <v>1005</v>
      </c>
      <c r="J34" s="40" t="s">
        <v>1971</v>
      </c>
      <c r="K34" s="40" t="s">
        <v>1972</v>
      </c>
      <c r="L34" s="39">
        <v>39056</v>
      </c>
      <c r="M34">
        <v>9</v>
      </c>
      <c r="N34">
        <v>0</v>
      </c>
      <c r="O34">
        <v>111</v>
      </c>
      <c r="P34" s="40" t="s">
        <v>1008</v>
      </c>
      <c r="Q34">
        <v>1</v>
      </c>
      <c r="R34">
        <v>1</v>
      </c>
      <c r="S34">
        <v>2</v>
      </c>
    </row>
    <row r="35" spans="1:19">
      <c r="A35" s="39">
        <v>39104</v>
      </c>
      <c r="B35">
        <v>1</v>
      </c>
      <c r="C35" s="40" t="s">
        <v>1973</v>
      </c>
      <c r="D35" s="40" t="s">
        <v>1974</v>
      </c>
      <c r="E35" s="40" t="s">
        <v>1975</v>
      </c>
      <c r="F35" s="40" t="s">
        <v>1976</v>
      </c>
      <c r="G35">
        <v>2006</v>
      </c>
      <c r="H35">
        <v>1702</v>
      </c>
      <c r="I35" s="40" t="s">
        <v>1005</v>
      </c>
      <c r="J35" s="40" t="s">
        <v>1977</v>
      </c>
      <c r="K35" s="40" t="s">
        <v>1978</v>
      </c>
      <c r="L35" s="39">
        <v>39020</v>
      </c>
      <c r="M35">
        <v>9</v>
      </c>
      <c r="N35">
        <v>0</v>
      </c>
      <c r="O35">
        <v>111</v>
      </c>
      <c r="P35" s="40" t="s">
        <v>1008</v>
      </c>
      <c r="Q35">
        <v>1</v>
      </c>
      <c r="R35">
        <v>1</v>
      </c>
      <c r="S35">
        <v>2</v>
      </c>
    </row>
    <row r="36" spans="1:19">
      <c r="A36" s="39">
        <v>39104</v>
      </c>
      <c r="B36">
        <v>1</v>
      </c>
      <c r="C36" s="40" t="s">
        <v>1979</v>
      </c>
      <c r="D36" s="40" t="s">
        <v>1980</v>
      </c>
      <c r="E36" s="40" t="s">
        <v>1981</v>
      </c>
      <c r="F36" s="40" t="s">
        <v>1982</v>
      </c>
      <c r="G36">
        <v>2006</v>
      </c>
      <c r="H36">
        <v>1702</v>
      </c>
      <c r="I36" s="40" t="s">
        <v>1005</v>
      </c>
      <c r="J36" s="40" t="s">
        <v>1983</v>
      </c>
      <c r="K36" s="40" t="s">
        <v>1984</v>
      </c>
      <c r="L36" s="39">
        <v>39020</v>
      </c>
      <c r="M36">
        <v>7</v>
      </c>
      <c r="N36">
        <v>2</v>
      </c>
      <c r="O36">
        <v>111</v>
      </c>
      <c r="P36" s="40" t="s">
        <v>1008</v>
      </c>
      <c r="Q36">
        <v>1</v>
      </c>
      <c r="R36">
        <v>1</v>
      </c>
      <c r="S36">
        <v>2</v>
      </c>
    </row>
    <row r="37" spans="1:19">
      <c r="A37" s="39">
        <v>39133</v>
      </c>
      <c r="B37">
        <v>1</v>
      </c>
      <c r="C37" s="40" t="s">
        <v>1985</v>
      </c>
      <c r="D37" s="40" t="s">
        <v>1986</v>
      </c>
      <c r="E37" s="40" t="s">
        <v>1987</v>
      </c>
      <c r="F37" s="40" t="s">
        <v>1988</v>
      </c>
      <c r="G37">
        <v>2006</v>
      </c>
      <c r="H37">
        <v>1702</v>
      </c>
      <c r="I37" s="40" t="s">
        <v>1005</v>
      </c>
      <c r="J37" s="40" t="s">
        <v>1989</v>
      </c>
      <c r="K37" s="40" t="s">
        <v>1990</v>
      </c>
      <c r="L37" s="39">
        <v>39049</v>
      </c>
      <c r="M37">
        <v>9</v>
      </c>
      <c r="N37">
        <v>0</v>
      </c>
      <c r="O37">
        <v>111</v>
      </c>
      <c r="P37" s="40" t="s">
        <v>1008</v>
      </c>
      <c r="Q37">
        <v>1</v>
      </c>
      <c r="R37">
        <v>1</v>
      </c>
      <c r="S37">
        <v>2</v>
      </c>
    </row>
    <row r="38" spans="1:19">
      <c r="A38" s="39">
        <v>39133</v>
      </c>
      <c r="B38">
        <v>1</v>
      </c>
      <c r="C38" s="40" t="s">
        <v>1991</v>
      </c>
      <c r="D38" s="40" t="s">
        <v>1992</v>
      </c>
      <c r="E38" s="40" t="s">
        <v>1993</v>
      </c>
      <c r="F38" s="40" t="s">
        <v>1994</v>
      </c>
      <c r="G38">
        <v>2006</v>
      </c>
      <c r="H38">
        <v>1702</v>
      </c>
      <c r="I38" s="40" t="s">
        <v>1005</v>
      </c>
      <c r="J38" s="40" t="s">
        <v>1995</v>
      </c>
      <c r="K38" s="40" t="s">
        <v>1996</v>
      </c>
      <c r="L38" s="39">
        <v>39021</v>
      </c>
      <c r="M38">
        <v>5</v>
      </c>
      <c r="N38">
        <v>4</v>
      </c>
      <c r="O38">
        <v>111</v>
      </c>
      <c r="P38" s="40" t="s">
        <v>1008</v>
      </c>
      <c r="Q38">
        <v>1</v>
      </c>
      <c r="R38">
        <v>1</v>
      </c>
      <c r="S38">
        <v>2</v>
      </c>
    </row>
    <row r="39" spans="1:19">
      <c r="A39" s="39">
        <v>39133</v>
      </c>
      <c r="B39">
        <v>1</v>
      </c>
      <c r="C39" s="40" t="s">
        <v>1997</v>
      </c>
      <c r="D39" s="40" t="s">
        <v>1998</v>
      </c>
      <c r="E39" s="40" t="s">
        <v>1999</v>
      </c>
      <c r="F39" s="40" t="s">
        <v>2000</v>
      </c>
      <c r="G39">
        <v>2006</v>
      </c>
      <c r="H39">
        <v>1702</v>
      </c>
      <c r="I39" s="40" t="s">
        <v>1005</v>
      </c>
      <c r="J39" s="40" t="s">
        <v>2001</v>
      </c>
      <c r="K39" s="40" t="s">
        <v>2002</v>
      </c>
      <c r="L39" s="39">
        <v>39021</v>
      </c>
      <c r="M39">
        <v>5</v>
      </c>
      <c r="N39">
        <v>4</v>
      </c>
      <c r="O39">
        <v>111</v>
      </c>
      <c r="P39" s="40" t="s">
        <v>1008</v>
      </c>
      <c r="Q39">
        <v>1</v>
      </c>
      <c r="R39">
        <v>1</v>
      </c>
      <c r="S39">
        <v>2</v>
      </c>
    </row>
    <row r="40" spans="1:19">
      <c r="A40" s="39">
        <v>39133</v>
      </c>
      <c r="B40">
        <v>1</v>
      </c>
      <c r="C40" s="40" t="s">
        <v>2003</v>
      </c>
      <c r="D40" s="40" t="s">
        <v>2004</v>
      </c>
      <c r="E40" s="40" t="s">
        <v>2005</v>
      </c>
      <c r="F40" s="40" t="s">
        <v>2006</v>
      </c>
      <c r="G40">
        <v>2006</v>
      </c>
      <c r="H40">
        <v>1702</v>
      </c>
      <c r="I40" s="40" t="s">
        <v>1005</v>
      </c>
      <c r="J40" s="40" t="s">
        <v>2007</v>
      </c>
      <c r="K40" s="40" t="s">
        <v>2008</v>
      </c>
      <c r="L40" s="39">
        <v>39027</v>
      </c>
      <c r="M40">
        <v>7</v>
      </c>
      <c r="N40">
        <v>2</v>
      </c>
      <c r="O40">
        <v>111</v>
      </c>
      <c r="P40" s="40" t="s">
        <v>1008</v>
      </c>
      <c r="Q40">
        <v>1</v>
      </c>
      <c r="R40">
        <v>1</v>
      </c>
      <c r="S40">
        <v>2</v>
      </c>
    </row>
    <row r="41" spans="1:19">
      <c r="A41" s="39">
        <v>39146</v>
      </c>
      <c r="B41">
        <v>1</v>
      </c>
      <c r="C41" s="40" t="s">
        <v>2009</v>
      </c>
      <c r="D41" s="40" t="s">
        <v>2010</v>
      </c>
      <c r="E41" s="40" t="s">
        <v>2011</v>
      </c>
      <c r="F41" s="40" t="s">
        <v>2012</v>
      </c>
      <c r="G41">
        <v>2006</v>
      </c>
      <c r="H41">
        <v>1702</v>
      </c>
      <c r="I41" s="40" t="s">
        <v>1005</v>
      </c>
      <c r="J41" s="40" t="s">
        <v>2013</v>
      </c>
      <c r="K41" s="40" t="s">
        <v>2014</v>
      </c>
      <c r="L41" s="39">
        <v>39091</v>
      </c>
      <c r="M41">
        <v>9</v>
      </c>
      <c r="N41">
        <v>0</v>
      </c>
      <c r="O41">
        <v>111</v>
      </c>
      <c r="P41" s="40" t="s">
        <v>1008</v>
      </c>
      <c r="Q41">
        <v>1</v>
      </c>
      <c r="R41">
        <v>1</v>
      </c>
      <c r="S41">
        <v>2</v>
      </c>
    </row>
    <row r="42" spans="1:19">
      <c r="A42" s="39">
        <v>39168</v>
      </c>
      <c r="B42">
        <v>1</v>
      </c>
      <c r="C42" s="40" t="s">
        <v>2015</v>
      </c>
      <c r="D42" s="40" t="s">
        <v>2016</v>
      </c>
      <c r="E42" s="40" t="s">
        <v>2017</v>
      </c>
      <c r="F42" s="40" t="s">
        <v>2018</v>
      </c>
      <c r="G42">
        <v>2006</v>
      </c>
      <c r="H42">
        <v>1702</v>
      </c>
      <c r="I42" s="40" t="s">
        <v>1005</v>
      </c>
      <c r="J42" s="40" t="s">
        <v>2019</v>
      </c>
      <c r="K42" s="40" t="s">
        <v>2020</v>
      </c>
      <c r="L42" s="39">
        <v>39056</v>
      </c>
      <c r="M42">
        <v>6</v>
      </c>
      <c r="N42">
        <v>2</v>
      </c>
      <c r="O42">
        <v>111</v>
      </c>
      <c r="P42" s="40" t="s">
        <v>1008</v>
      </c>
      <c r="Q42">
        <v>1</v>
      </c>
      <c r="R42">
        <v>1</v>
      </c>
      <c r="S42">
        <v>2</v>
      </c>
    </row>
    <row r="43" spans="1:19">
      <c r="A43" s="39">
        <v>39168</v>
      </c>
      <c r="B43">
        <v>1</v>
      </c>
      <c r="C43" s="40" t="s">
        <v>2021</v>
      </c>
      <c r="D43" s="40" t="s">
        <v>2022</v>
      </c>
      <c r="E43" s="40" t="s">
        <v>2023</v>
      </c>
      <c r="F43" s="40" t="s">
        <v>2024</v>
      </c>
      <c r="G43">
        <v>2006</v>
      </c>
      <c r="H43">
        <v>1702</v>
      </c>
      <c r="I43" s="40" t="s">
        <v>1005</v>
      </c>
      <c r="J43" s="40" t="s">
        <v>2025</v>
      </c>
      <c r="K43" s="40" t="s">
        <v>2026</v>
      </c>
      <c r="L43" s="39">
        <v>39090</v>
      </c>
      <c r="M43">
        <v>5</v>
      </c>
      <c r="N43">
        <v>4</v>
      </c>
      <c r="O43">
        <v>111</v>
      </c>
      <c r="P43" s="40" t="s">
        <v>1008</v>
      </c>
      <c r="Q43">
        <v>2</v>
      </c>
      <c r="R43">
        <v>1</v>
      </c>
      <c r="S43">
        <v>1</v>
      </c>
    </row>
    <row r="44" spans="1:19">
      <c r="A44" s="39">
        <v>39174</v>
      </c>
      <c r="B44">
        <v>1</v>
      </c>
      <c r="C44" s="40" t="s">
        <v>2027</v>
      </c>
      <c r="D44" s="40" t="s">
        <v>2028</v>
      </c>
      <c r="E44" s="40" t="s">
        <v>2029</v>
      </c>
      <c r="F44" s="40" t="s">
        <v>2030</v>
      </c>
      <c r="G44">
        <v>2006</v>
      </c>
      <c r="H44">
        <v>1702</v>
      </c>
      <c r="I44" s="40" t="s">
        <v>1005</v>
      </c>
      <c r="J44" s="40" t="s">
        <v>2031</v>
      </c>
      <c r="K44" s="40" t="s">
        <v>2032</v>
      </c>
      <c r="L44" s="39">
        <v>39050</v>
      </c>
      <c r="M44">
        <v>5</v>
      </c>
      <c r="N44">
        <v>4</v>
      </c>
      <c r="O44">
        <v>111</v>
      </c>
      <c r="P44" s="40" t="s">
        <v>1008</v>
      </c>
      <c r="Q44">
        <v>2</v>
      </c>
      <c r="R44">
        <v>1</v>
      </c>
      <c r="S44">
        <v>1</v>
      </c>
    </row>
    <row r="45" spans="1:19">
      <c r="A45" s="39">
        <v>39174</v>
      </c>
      <c r="B45">
        <v>1</v>
      </c>
      <c r="C45" s="40" t="s">
        <v>2033</v>
      </c>
      <c r="D45" s="40" t="s">
        <v>2034</v>
      </c>
      <c r="E45" s="40" t="s">
        <v>2035</v>
      </c>
      <c r="F45" s="40" t="s">
        <v>2036</v>
      </c>
      <c r="G45">
        <v>2006</v>
      </c>
      <c r="H45">
        <v>1702</v>
      </c>
      <c r="I45" s="40" t="s">
        <v>1005</v>
      </c>
      <c r="J45" s="40" t="s">
        <v>2037</v>
      </c>
      <c r="K45" s="40" t="s">
        <v>2038</v>
      </c>
      <c r="L45" s="39">
        <v>39022</v>
      </c>
      <c r="M45">
        <v>9</v>
      </c>
      <c r="N45">
        <v>0</v>
      </c>
      <c r="O45">
        <v>111</v>
      </c>
      <c r="P45" s="40" t="s">
        <v>1008</v>
      </c>
      <c r="Q45">
        <v>1</v>
      </c>
      <c r="R45">
        <v>1</v>
      </c>
      <c r="S45">
        <v>2</v>
      </c>
    </row>
    <row r="46" spans="1:19">
      <c r="A46" s="39">
        <v>39189</v>
      </c>
      <c r="B46">
        <v>1</v>
      </c>
      <c r="C46" s="40" t="s">
        <v>2039</v>
      </c>
      <c r="D46" s="40" t="s">
        <v>2040</v>
      </c>
      <c r="E46" s="40" t="s">
        <v>2041</v>
      </c>
      <c r="F46" s="40" t="s">
        <v>2042</v>
      </c>
      <c r="G46">
        <v>2006</v>
      </c>
      <c r="H46">
        <v>1702</v>
      </c>
      <c r="I46" s="40" t="s">
        <v>1005</v>
      </c>
      <c r="J46" s="40" t="s">
        <v>2043</v>
      </c>
      <c r="K46" s="40" t="s">
        <v>2044</v>
      </c>
      <c r="L46" s="39">
        <v>39050</v>
      </c>
      <c r="M46">
        <v>5</v>
      </c>
      <c r="N46">
        <v>3</v>
      </c>
      <c r="O46">
        <v>111</v>
      </c>
      <c r="P46" s="40" t="s">
        <v>1008</v>
      </c>
      <c r="Q46">
        <v>1</v>
      </c>
      <c r="R46">
        <v>1</v>
      </c>
      <c r="S46">
        <v>2</v>
      </c>
    </row>
    <row r="47" spans="1:19">
      <c r="A47" s="39">
        <v>39189</v>
      </c>
      <c r="B47">
        <v>1</v>
      </c>
      <c r="C47" s="40" t="s">
        <v>2045</v>
      </c>
      <c r="D47" s="40" t="s">
        <v>2046</v>
      </c>
      <c r="E47" s="40" t="s">
        <v>2047</v>
      </c>
      <c r="F47" s="40" t="s">
        <v>2048</v>
      </c>
      <c r="G47">
        <v>2006</v>
      </c>
      <c r="H47">
        <v>1702</v>
      </c>
      <c r="I47" s="40" t="s">
        <v>1005</v>
      </c>
      <c r="J47" s="40" t="s">
        <v>2049</v>
      </c>
      <c r="K47" s="40" t="s">
        <v>2050</v>
      </c>
      <c r="L47" s="39">
        <v>39000</v>
      </c>
      <c r="M47">
        <v>7</v>
      </c>
      <c r="N47">
        <v>2</v>
      </c>
      <c r="O47">
        <v>111</v>
      </c>
      <c r="P47" s="40" t="s">
        <v>1008</v>
      </c>
      <c r="Q47">
        <v>1</v>
      </c>
      <c r="R47">
        <v>1</v>
      </c>
      <c r="S47">
        <v>2</v>
      </c>
    </row>
    <row r="48" spans="1:19">
      <c r="A48" s="39">
        <v>39189</v>
      </c>
      <c r="B48">
        <v>1</v>
      </c>
      <c r="C48" s="40" t="s">
        <v>2051</v>
      </c>
      <c r="D48" s="40" t="s">
        <v>2052</v>
      </c>
      <c r="E48" s="40" t="s">
        <v>2053</v>
      </c>
      <c r="F48" s="40" t="s">
        <v>2054</v>
      </c>
      <c r="G48">
        <v>2006</v>
      </c>
      <c r="H48">
        <v>1702</v>
      </c>
      <c r="I48" s="40" t="s">
        <v>1005</v>
      </c>
      <c r="J48" s="40" t="s">
        <v>2055</v>
      </c>
      <c r="K48" s="40" t="s">
        <v>2056</v>
      </c>
      <c r="L48" s="39">
        <v>39092</v>
      </c>
      <c r="M48">
        <v>5</v>
      </c>
      <c r="N48">
        <v>4</v>
      </c>
      <c r="O48">
        <v>111</v>
      </c>
      <c r="P48" s="40" t="s">
        <v>1008</v>
      </c>
      <c r="Q48">
        <v>3</v>
      </c>
      <c r="R48">
        <v>1</v>
      </c>
      <c r="S48">
        <v>2</v>
      </c>
    </row>
    <row r="49" spans="1:19">
      <c r="A49" s="39">
        <v>39190</v>
      </c>
      <c r="B49">
        <v>1</v>
      </c>
      <c r="C49" s="40" t="s">
        <v>2057</v>
      </c>
      <c r="D49" s="40" t="s">
        <v>2058</v>
      </c>
      <c r="E49" s="40" t="s">
        <v>2059</v>
      </c>
      <c r="F49" s="40" t="s">
        <v>2060</v>
      </c>
      <c r="G49">
        <v>2006</v>
      </c>
      <c r="H49">
        <v>1702</v>
      </c>
      <c r="I49" s="40" t="s">
        <v>1005</v>
      </c>
      <c r="J49" s="40" t="s">
        <v>2061</v>
      </c>
      <c r="K49" s="40" t="s">
        <v>2062</v>
      </c>
      <c r="L49" s="39">
        <v>39029</v>
      </c>
      <c r="M49">
        <v>5</v>
      </c>
      <c r="N49">
        <v>4</v>
      </c>
      <c r="O49">
        <v>111</v>
      </c>
      <c r="P49" s="40" t="s">
        <v>1008</v>
      </c>
      <c r="Q49">
        <v>1</v>
      </c>
      <c r="R49">
        <v>1</v>
      </c>
      <c r="S49">
        <v>2</v>
      </c>
    </row>
    <row r="50" spans="1:19">
      <c r="A50" s="39">
        <v>39197</v>
      </c>
      <c r="B50">
        <v>1</v>
      </c>
      <c r="C50" s="40" t="s">
        <v>2063</v>
      </c>
      <c r="D50" s="40" t="s">
        <v>2064</v>
      </c>
      <c r="E50" s="40" t="s">
        <v>2065</v>
      </c>
      <c r="F50" s="40" t="s">
        <v>2066</v>
      </c>
      <c r="G50">
        <v>2006</v>
      </c>
      <c r="H50">
        <v>1702</v>
      </c>
      <c r="I50" s="40" t="s">
        <v>1005</v>
      </c>
      <c r="J50" s="40" t="s">
        <v>2067</v>
      </c>
      <c r="K50" s="40" t="s">
        <v>2068</v>
      </c>
      <c r="L50" s="39">
        <v>39099</v>
      </c>
      <c r="M50">
        <v>5</v>
      </c>
      <c r="N50">
        <v>4</v>
      </c>
      <c r="O50">
        <v>111</v>
      </c>
      <c r="P50" s="40" t="s">
        <v>1008</v>
      </c>
      <c r="Q50">
        <v>2</v>
      </c>
      <c r="R50">
        <v>1</v>
      </c>
      <c r="S50">
        <v>1</v>
      </c>
    </row>
    <row r="51" spans="1:19">
      <c r="A51" s="39">
        <v>39197</v>
      </c>
      <c r="B51">
        <v>1</v>
      </c>
      <c r="C51" s="40" t="s">
        <v>2069</v>
      </c>
      <c r="D51" s="40" t="s">
        <v>2070</v>
      </c>
      <c r="E51" s="40" t="s">
        <v>2071</v>
      </c>
      <c r="F51" s="40" t="s">
        <v>2072</v>
      </c>
      <c r="G51">
        <v>2006</v>
      </c>
      <c r="H51">
        <v>1702</v>
      </c>
      <c r="I51" s="40" t="s">
        <v>1005</v>
      </c>
      <c r="J51" s="40" t="s">
        <v>2073</v>
      </c>
      <c r="K51" s="40" t="s">
        <v>2074</v>
      </c>
      <c r="L51" s="39">
        <v>39099</v>
      </c>
      <c r="M51">
        <v>5</v>
      </c>
      <c r="N51">
        <v>4</v>
      </c>
      <c r="O51">
        <v>111</v>
      </c>
      <c r="P51" s="40" t="s">
        <v>1008</v>
      </c>
      <c r="Q51">
        <v>2</v>
      </c>
      <c r="R51">
        <v>1</v>
      </c>
      <c r="S51">
        <v>1</v>
      </c>
    </row>
    <row r="52" spans="1:19">
      <c r="A52" s="39">
        <v>39202</v>
      </c>
      <c r="B52">
        <v>1</v>
      </c>
      <c r="C52" s="40" t="s">
        <v>2075</v>
      </c>
      <c r="D52" s="40" t="s">
        <v>2076</v>
      </c>
      <c r="E52" s="40" t="s">
        <v>2077</v>
      </c>
      <c r="F52" s="40" t="s">
        <v>2078</v>
      </c>
      <c r="G52">
        <v>2006</v>
      </c>
      <c r="H52">
        <v>1702</v>
      </c>
      <c r="I52" s="40" t="s">
        <v>1005</v>
      </c>
      <c r="J52" s="40" t="s">
        <v>2079</v>
      </c>
      <c r="K52" s="40" t="s">
        <v>2080</v>
      </c>
      <c r="L52" s="39">
        <v>39139</v>
      </c>
      <c r="M52">
        <v>8</v>
      </c>
      <c r="N52">
        <v>1</v>
      </c>
      <c r="O52">
        <v>111</v>
      </c>
      <c r="P52" s="40" t="s">
        <v>1008</v>
      </c>
      <c r="Q52">
        <v>1</v>
      </c>
      <c r="R52">
        <v>1</v>
      </c>
      <c r="S52">
        <v>2</v>
      </c>
    </row>
    <row r="53" spans="1:19">
      <c r="A53" s="39">
        <v>39202</v>
      </c>
      <c r="B53">
        <v>1</v>
      </c>
      <c r="C53" s="40" t="s">
        <v>2081</v>
      </c>
      <c r="D53" s="40" t="s">
        <v>2082</v>
      </c>
      <c r="E53" s="40" t="s">
        <v>2083</v>
      </c>
      <c r="F53" s="40" t="s">
        <v>2084</v>
      </c>
      <c r="G53">
        <v>2006</v>
      </c>
      <c r="H53">
        <v>1702</v>
      </c>
      <c r="I53" s="40" t="s">
        <v>1005</v>
      </c>
      <c r="J53" s="40" t="s">
        <v>2085</v>
      </c>
      <c r="K53" s="40" t="s">
        <v>2086</v>
      </c>
      <c r="L53" s="39">
        <v>39049</v>
      </c>
      <c r="M53">
        <v>9</v>
      </c>
      <c r="N53">
        <v>0</v>
      </c>
      <c r="O53">
        <v>111</v>
      </c>
      <c r="P53" s="40" t="s">
        <v>1008</v>
      </c>
      <c r="Q53">
        <v>1</v>
      </c>
      <c r="R53">
        <v>1</v>
      </c>
      <c r="S53">
        <v>2</v>
      </c>
    </row>
    <row r="54" spans="1:19">
      <c r="A54" s="39">
        <v>39202</v>
      </c>
      <c r="B54">
        <v>1</v>
      </c>
      <c r="C54" s="40" t="s">
        <v>2087</v>
      </c>
      <c r="D54" s="40" t="s">
        <v>2088</v>
      </c>
      <c r="E54" s="40" t="s">
        <v>2089</v>
      </c>
      <c r="F54" s="40" t="s">
        <v>2090</v>
      </c>
      <c r="G54">
        <v>2006</v>
      </c>
      <c r="H54">
        <v>1702</v>
      </c>
      <c r="I54" s="40" t="s">
        <v>1005</v>
      </c>
      <c r="J54" s="40" t="s">
        <v>2091</v>
      </c>
      <c r="K54" s="40" t="s">
        <v>2092</v>
      </c>
      <c r="L54" s="39">
        <v>39139</v>
      </c>
      <c r="M54">
        <v>9</v>
      </c>
      <c r="N54">
        <v>0</v>
      </c>
      <c r="O54">
        <v>111</v>
      </c>
      <c r="P54" s="40" t="s">
        <v>1008</v>
      </c>
      <c r="Q54">
        <v>1</v>
      </c>
      <c r="R54">
        <v>1</v>
      </c>
      <c r="S54">
        <v>2</v>
      </c>
    </row>
    <row r="55" spans="1:19">
      <c r="A55" s="39">
        <v>39216</v>
      </c>
      <c r="B55">
        <v>1</v>
      </c>
      <c r="C55" s="40" t="s">
        <v>2093</v>
      </c>
      <c r="D55" s="40" t="s">
        <v>2094</v>
      </c>
      <c r="E55" s="40" t="s">
        <v>2095</v>
      </c>
      <c r="F55" s="40" t="s">
        <v>2096</v>
      </c>
      <c r="G55">
        <v>2006</v>
      </c>
      <c r="H55">
        <v>1702</v>
      </c>
      <c r="I55" s="40" t="s">
        <v>1005</v>
      </c>
      <c r="J55" s="40" t="s">
        <v>2097</v>
      </c>
      <c r="K55" s="40" t="s">
        <v>2098</v>
      </c>
      <c r="L55" s="39">
        <v>39091</v>
      </c>
      <c r="M55">
        <v>5</v>
      </c>
      <c r="N55">
        <v>4</v>
      </c>
      <c r="O55">
        <v>111</v>
      </c>
      <c r="P55" s="40" t="s">
        <v>1008</v>
      </c>
      <c r="Q55">
        <v>1</v>
      </c>
      <c r="R55">
        <v>1</v>
      </c>
      <c r="S55">
        <v>2</v>
      </c>
    </row>
    <row r="56" spans="1:19">
      <c r="A56" s="39">
        <v>39223</v>
      </c>
      <c r="B56">
        <v>1</v>
      </c>
      <c r="C56" s="40" t="s">
        <v>2099</v>
      </c>
      <c r="D56" s="40" t="s">
        <v>2100</v>
      </c>
      <c r="E56" s="40" t="s">
        <v>2101</v>
      </c>
      <c r="F56" s="40" t="s">
        <v>2102</v>
      </c>
      <c r="G56">
        <v>2006</v>
      </c>
      <c r="H56">
        <v>1702</v>
      </c>
      <c r="I56" s="40" t="s">
        <v>1005</v>
      </c>
      <c r="J56" s="40" t="s">
        <v>2103</v>
      </c>
      <c r="K56" s="40" t="s">
        <v>2104</v>
      </c>
      <c r="L56" s="39">
        <v>39195</v>
      </c>
      <c r="M56">
        <v>9</v>
      </c>
      <c r="N56">
        <v>0</v>
      </c>
      <c r="O56">
        <v>111</v>
      </c>
      <c r="P56" s="40" t="s">
        <v>1008</v>
      </c>
      <c r="Q56">
        <v>1</v>
      </c>
      <c r="R56">
        <v>1</v>
      </c>
      <c r="S56">
        <v>2</v>
      </c>
    </row>
    <row r="57" spans="1:19">
      <c r="A57" s="39">
        <v>39223</v>
      </c>
      <c r="B57">
        <v>1</v>
      </c>
      <c r="C57" s="40" t="s">
        <v>2105</v>
      </c>
      <c r="D57" s="40" t="s">
        <v>2106</v>
      </c>
      <c r="E57" s="40" t="s">
        <v>2107</v>
      </c>
      <c r="F57" s="40" t="s">
        <v>2108</v>
      </c>
      <c r="G57">
        <v>2006</v>
      </c>
      <c r="H57">
        <v>1702</v>
      </c>
      <c r="I57" s="40" t="s">
        <v>1005</v>
      </c>
      <c r="J57" s="40" t="s">
        <v>2109</v>
      </c>
      <c r="K57" s="40" t="s">
        <v>2110</v>
      </c>
      <c r="L57" s="39">
        <v>39196</v>
      </c>
      <c r="M57">
        <v>8</v>
      </c>
      <c r="N57">
        <v>0</v>
      </c>
      <c r="O57">
        <v>111</v>
      </c>
      <c r="P57" s="40" t="s">
        <v>1008</v>
      </c>
      <c r="Q57">
        <v>1</v>
      </c>
      <c r="R57">
        <v>1</v>
      </c>
      <c r="S57">
        <v>2</v>
      </c>
    </row>
    <row r="58" spans="1:19">
      <c r="A58" s="39">
        <v>39223</v>
      </c>
      <c r="B58">
        <v>1</v>
      </c>
      <c r="C58" s="40" t="s">
        <v>2111</v>
      </c>
      <c r="D58" s="40" t="s">
        <v>2112</v>
      </c>
      <c r="E58" s="40" t="s">
        <v>2113</v>
      </c>
      <c r="F58" s="40" t="s">
        <v>2114</v>
      </c>
      <c r="G58">
        <v>2006</v>
      </c>
      <c r="H58">
        <v>1702</v>
      </c>
      <c r="I58" s="40" t="s">
        <v>1005</v>
      </c>
      <c r="J58" s="40" t="s">
        <v>2115</v>
      </c>
      <c r="K58" s="40" t="s">
        <v>2116</v>
      </c>
      <c r="L58" s="39">
        <v>39140</v>
      </c>
      <c r="M58">
        <v>7</v>
      </c>
      <c r="N58">
        <v>2</v>
      </c>
      <c r="O58">
        <v>111</v>
      </c>
      <c r="P58" s="40" t="s">
        <v>1008</v>
      </c>
      <c r="Q58">
        <v>1</v>
      </c>
      <c r="R58">
        <v>1</v>
      </c>
      <c r="S58">
        <v>2</v>
      </c>
    </row>
    <row r="59" spans="1:19">
      <c r="A59" s="39">
        <v>39223</v>
      </c>
      <c r="B59">
        <v>1</v>
      </c>
      <c r="C59" s="40" t="s">
        <v>2117</v>
      </c>
      <c r="D59" s="40" t="s">
        <v>2118</v>
      </c>
      <c r="E59" s="40" t="s">
        <v>2119</v>
      </c>
      <c r="F59" s="40" t="s">
        <v>2120</v>
      </c>
      <c r="G59">
        <v>2006</v>
      </c>
      <c r="H59">
        <v>1702</v>
      </c>
      <c r="I59" s="40" t="s">
        <v>1005</v>
      </c>
      <c r="J59" s="40" t="s">
        <v>2121</v>
      </c>
      <c r="K59" s="40" t="s">
        <v>2122</v>
      </c>
      <c r="L59" s="39">
        <v>39048</v>
      </c>
      <c r="M59">
        <v>7</v>
      </c>
      <c r="N59">
        <v>2</v>
      </c>
      <c r="O59">
        <v>111</v>
      </c>
      <c r="P59" s="40" t="s">
        <v>1008</v>
      </c>
      <c r="Q59">
        <v>1</v>
      </c>
      <c r="R59">
        <v>1</v>
      </c>
      <c r="S59">
        <v>2</v>
      </c>
    </row>
    <row r="60" spans="1:19">
      <c r="A60" s="39">
        <v>39237</v>
      </c>
      <c r="B60">
        <v>1</v>
      </c>
      <c r="C60" s="40" t="s">
        <v>2123</v>
      </c>
      <c r="D60" s="40" t="s">
        <v>2124</v>
      </c>
      <c r="E60" s="40" t="s">
        <v>2125</v>
      </c>
      <c r="F60" s="40" t="s">
        <v>2126</v>
      </c>
      <c r="G60">
        <v>2006</v>
      </c>
      <c r="H60">
        <v>1702</v>
      </c>
      <c r="I60" s="40" t="s">
        <v>1005</v>
      </c>
      <c r="J60" s="40" t="s">
        <v>2127</v>
      </c>
      <c r="K60" s="40" t="s">
        <v>2128</v>
      </c>
      <c r="L60" s="39">
        <v>39189</v>
      </c>
      <c r="M60">
        <v>5</v>
      </c>
      <c r="N60">
        <v>4</v>
      </c>
      <c r="O60">
        <v>111</v>
      </c>
      <c r="P60" s="40" t="s">
        <v>1008</v>
      </c>
      <c r="Q60">
        <v>1</v>
      </c>
      <c r="R60">
        <v>1</v>
      </c>
      <c r="S60">
        <v>2</v>
      </c>
    </row>
    <row r="61" spans="1:19">
      <c r="A61" s="39">
        <v>39237</v>
      </c>
      <c r="B61">
        <v>1</v>
      </c>
      <c r="C61" s="40" t="s">
        <v>2129</v>
      </c>
      <c r="D61" s="40" t="s">
        <v>2130</v>
      </c>
      <c r="E61" s="40" t="s">
        <v>2131</v>
      </c>
      <c r="F61" s="40" t="s">
        <v>2132</v>
      </c>
      <c r="G61">
        <v>2006</v>
      </c>
      <c r="H61">
        <v>1702</v>
      </c>
      <c r="I61" s="40" t="s">
        <v>1005</v>
      </c>
      <c r="J61" s="40" t="s">
        <v>2133</v>
      </c>
      <c r="K61" s="40" t="s">
        <v>2134</v>
      </c>
      <c r="L61" s="39">
        <v>39098</v>
      </c>
      <c r="M61">
        <v>9</v>
      </c>
      <c r="N61">
        <v>0</v>
      </c>
      <c r="O61">
        <v>111</v>
      </c>
      <c r="P61" s="40" t="s">
        <v>1008</v>
      </c>
      <c r="Q61">
        <v>3</v>
      </c>
      <c r="R61">
        <v>1</v>
      </c>
      <c r="S61">
        <v>2</v>
      </c>
    </row>
    <row r="62" spans="1:19">
      <c r="A62" s="39">
        <v>39237</v>
      </c>
      <c r="B62">
        <v>1</v>
      </c>
      <c r="C62" s="40" t="s">
        <v>2135</v>
      </c>
      <c r="D62" s="40" t="s">
        <v>2136</v>
      </c>
      <c r="E62" s="40" t="s">
        <v>2137</v>
      </c>
      <c r="F62" s="40" t="s">
        <v>2138</v>
      </c>
      <c r="G62">
        <v>2006</v>
      </c>
      <c r="H62">
        <v>1702</v>
      </c>
      <c r="I62" s="40" t="s">
        <v>1005</v>
      </c>
      <c r="J62" s="40" t="s">
        <v>2139</v>
      </c>
      <c r="K62" s="40" t="s">
        <v>2140</v>
      </c>
      <c r="L62" s="39">
        <v>39189</v>
      </c>
      <c r="M62">
        <v>9</v>
      </c>
      <c r="N62">
        <v>0</v>
      </c>
      <c r="O62">
        <v>111</v>
      </c>
      <c r="P62" s="40" t="s">
        <v>1008</v>
      </c>
      <c r="Q62">
        <v>1</v>
      </c>
      <c r="R62">
        <v>1</v>
      </c>
      <c r="S62">
        <v>2</v>
      </c>
    </row>
    <row r="63" spans="1:19">
      <c r="A63" s="39">
        <v>39244</v>
      </c>
      <c r="B63">
        <v>1</v>
      </c>
      <c r="C63" s="40" t="s">
        <v>2141</v>
      </c>
      <c r="D63" s="40" t="s">
        <v>2142</v>
      </c>
      <c r="E63" s="40" t="s">
        <v>2143</v>
      </c>
      <c r="F63" s="40" t="s">
        <v>2144</v>
      </c>
      <c r="G63">
        <v>2006</v>
      </c>
      <c r="H63">
        <v>1702</v>
      </c>
      <c r="I63" s="40" t="s">
        <v>1005</v>
      </c>
      <c r="J63" s="40" t="s">
        <v>2145</v>
      </c>
      <c r="K63" s="40" t="s">
        <v>2146</v>
      </c>
      <c r="L63" s="39">
        <v>39196</v>
      </c>
      <c r="M63">
        <v>9</v>
      </c>
      <c r="N63">
        <v>0</v>
      </c>
      <c r="O63">
        <v>111</v>
      </c>
      <c r="P63" s="40" t="s">
        <v>1008</v>
      </c>
      <c r="Q63">
        <v>1</v>
      </c>
      <c r="R63">
        <v>1</v>
      </c>
      <c r="S63">
        <v>2</v>
      </c>
    </row>
    <row r="64" spans="1:19">
      <c r="A64" s="39">
        <v>39244</v>
      </c>
      <c r="B64">
        <v>1</v>
      </c>
      <c r="C64" s="40" t="s">
        <v>2147</v>
      </c>
      <c r="D64" s="40" t="s">
        <v>2148</v>
      </c>
      <c r="E64" s="40" t="s">
        <v>2149</v>
      </c>
      <c r="F64" s="40" t="s">
        <v>2150</v>
      </c>
      <c r="G64">
        <v>2006</v>
      </c>
      <c r="H64">
        <v>1702</v>
      </c>
      <c r="I64" s="40" t="s">
        <v>1005</v>
      </c>
      <c r="J64" s="40" t="s">
        <v>2151</v>
      </c>
      <c r="K64" s="40" t="s">
        <v>2152</v>
      </c>
      <c r="L64" s="39">
        <v>39161</v>
      </c>
      <c r="M64">
        <v>5</v>
      </c>
      <c r="N64">
        <v>4</v>
      </c>
      <c r="O64">
        <v>111</v>
      </c>
      <c r="P64" s="40" t="s">
        <v>1008</v>
      </c>
      <c r="Q64">
        <v>1</v>
      </c>
      <c r="R64">
        <v>1</v>
      </c>
      <c r="S64">
        <v>2</v>
      </c>
    </row>
    <row r="65" spans="1:19">
      <c r="A65" s="39">
        <v>39244</v>
      </c>
      <c r="B65">
        <v>1</v>
      </c>
      <c r="C65" s="40" t="s">
        <v>2153</v>
      </c>
      <c r="D65" s="40" t="s">
        <v>2154</v>
      </c>
      <c r="E65" s="40" t="s">
        <v>2155</v>
      </c>
      <c r="F65" s="40" t="s">
        <v>2156</v>
      </c>
      <c r="G65">
        <v>2006</v>
      </c>
      <c r="H65">
        <v>1702</v>
      </c>
      <c r="I65" s="40" t="s">
        <v>1005</v>
      </c>
      <c r="J65" s="40" t="s">
        <v>2157</v>
      </c>
      <c r="K65" s="40" t="s">
        <v>2158</v>
      </c>
      <c r="L65" s="39">
        <v>39195</v>
      </c>
      <c r="M65">
        <v>9</v>
      </c>
      <c r="N65">
        <v>0</v>
      </c>
      <c r="O65">
        <v>111</v>
      </c>
      <c r="P65" s="40" t="s">
        <v>1008</v>
      </c>
      <c r="Q65">
        <v>1</v>
      </c>
      <c r="R65">
        <v>1</v>
      </c>
      <c r="S65">
        <v>2</v>
      </c>
    </row>
    <row r="66" spans="1:19">
      <c r="A66" s="39">
        <v>39244</v>
      </c>
      <c r="B66">
        <v>1</v>
      </c>
      <c r="C66" s="40" t="s">
        <v>2159</v>
      </c>
      <c r="D66" s="40" t="s">
        <v>2160</v>
      </c>
      <c r="E66" s="40" t="s">
        <v>2161</v>
      </c>
      <c r="F66" s="40" t="s">
        <v>2162</v>
      </c>
      <c r="G66">
        <v>2006</v>
      </c>
      <c r="H66">
        <v>1702</v>
      </c>
      <c r="I66" s="40" t="s">
        <v>1005</v>
      </c>
      <c r="J66" s="40" t="s">
        <v>2163</v>
      </c>
      <c r="K66" s="40" t="s">
        <v>2164</v>
      </c>
      <c r="L66" s="39">
        <v>39197</v>
      </c>
      <c r="M66">
        <v>9</v>
      </c>
      <c r="N66">
        <v>0</v>
      </c>
      <c r="O66">
        <v>111</v>
      </c>
      <c r="P66" s="40" t="s">
        <v>1008</v>
      </c>
      <c r="Q66">
        <v>1</v>
      </c>
      <c r="R66">
        <v>1</v>
      </c>
      <c r="S66">
        <v>2</v>
      </c>
    </row>
    <row r="67" spans="1:19">
      <c r="A67" s="39">
        <v>39244</v>
      </c>
      <c r="B67">
        <v>1</v>
      </c>
      <c r="C67" s="40" t="s">
        <v>2165</v>
      </c>
      <c r="D67" s="40" t="s">
        <v>2166</v>
      </c>
      <c r="E67" s="40" t="s">
        <v>2167</v>
      </c>
      <c r="F67" s="40" t="s">
        <v>2168</v>
      </c>
      <c r="G67">
        <v>2006</v>
      </c>
      <c r="H67">
        <v>1702</v>
      </c>
      <c r="I67" s="40" t="s">
        <v>1005</v>
      </c>
      <c r="J67" s="40" t="s">
        <v>2169</v>
      </c>
      <c r="K67" s="40" t="s">
        <v>2170</v>
      </c>
      <c r="L67" s="39">
        <v>39188</v>
      </c>
      <c r="M67">
        <v>9</v>
      </c>
      <c r="N67">
        <v>0</v>
      </c>
      <c r="O67">
        <v>111</v>
      </c>
      <c r="P67" s="40" t="s">
        <v>1008</v>
      </c>
      <c r="Q67">
        <v>1</v>
      </c>
      <c r="R67">
        <v>1</v>
      </c>
      <c r="S67">
        <v>2</v>
      </c>
    </row>
    <row r="68" spans="1:19">
      <c r="A68" s="39">
        <v>39247</v>
      </c>
      <c r="B68">
        <v>1</v>
      </c>
      <c r="C68" s="40" t="s">
        <v>2171</v>
      </c>
      <c r="D68" s="40" t="s">
        <v>2172</v>
      </c>
      <c r="E68" s="40" t="s">
        <v>2173</v>
      </c>
      <c r="F68" s="40" t="s">
        <v>2174</v>
      </c>
      <c r="G68">
        <v>2006</v>
      </c>
      <c r="H68">
        <v>1702</v>
      </c>
      <c r="I68" s="40" t="s">
        <v>1005</v>
      </c>
      <c r="J68" s="40" t="s">
        <v>2175</v>
      </c>
      <c r="K68" s="40" t="s">
        <v>2176</v>
      </c>
      <c r="L68" s="39">
        <v>39092</v>
      </c>
      <c r="M68">
        <v>9</v>
      </c>
      <c r="N68">
        <v>0</v>
      </c>
      <c r="O68">
        <v>111</v>
      </c>
      <c r="P68" s="40" t="s">
        <v>1008</v>
      </c>
      <c r="Q68">
        <v>3</v>
      </c>
      <c r="R68">
        <v>1</v>
      </c>
      <c r="S68">
        <v>2</v>
      </c>
    </row>
    <row r="69" spans="1:19">
      <c r="A69" s="39">
        <v>39247</v>
      </c>
      <c r="B69">
        <v>1</v>
      </c>
      <c r="C69" s="40" t="s">
        <v>2177</v>
      </c>
      <c r="D69" s="40" t="s">
        <v>2178</v>
      </c>
      <c r="E69" s="40" t="s">
        <v>2179</v>
      </c>
      <c r="F69" s="40" t="s">
        <v>2180</v>
      </c>
      <c r="G69">
        <v>2006</v>
      </c>
      <c r="H69">
        <v>1702</v>
      </c>
      <c r="I69" s="40" t="s">
        <v>1005</v>
      </c>
      <c r="J69" s="40" t="s">
        <v>2181</v>
      </c>
      <c r="K69" s="40" t="s">
        <v>2182</v>
      </c>
      <c r="L69" s="39">
        <v>39196</v>
      </c>
      <c r="M69">
        <v>7</v>
      </c>
      <c r="N69">
        <v>2</v>
      </c>
      <c r="O69">
        <v>111</v>
      </c>
      <c r="P69" s="40" t="s">
        <v>1008</v>
      </c>
      <c r="Q69">
        <v>1</v>
      </c>
      <c r="R69">
        <v>1</v>
      </c>
      <c r="S69">
        <v>2</v>
      </c>
    </row>
    <row r="70" spans="1:19">
      <c r="A70" s="39">
        <v>39247</v>
      </c>
      <c r="B70">
        <v>1</v>
      </c>
      <c r="C70" s="40" t="s">
        <v>2183</v>
      </c>
      <c r="D70" s="40" t="s">
        <v>2184</v>
      </c>
      <c r="E70" s="40" t="s">
        <v>2185</v>
      </c>
      <c r="F70" s="40" t="s">
        <v>2186</v>
      </c>
      <c r="G70">
        <v>2006</v>
      </c>
      <c r="H70">
        <v>1702</v>
      </c>
      <c r="I70" s="40" t="s">
        <v>1005</v>
      </c>
      <c r="J70" s="40" t="s">
        <v>2187</v>
      </c>
      <c r="K70" s="40" t="s">
        <v>2188</v>
      </c>
      <c r="L70" s="39">
        <v>39167</v>
      </c>
      <c r="M70">
        <v>5</v>
      </c>
      <c r="N70">
        <v>4</v>
      </c>
      <c r="O70">
        <v>111</v>
      </c>
      <c r="P70" s="40" t="s">
        <v>1008</v>
      </c>
      <c r="Q70">
        <v>1</v>
      </c>
      <c r="R70">
        <v>1</v>
      </c>
      <c r="S70">
        <v>2</v>
      </c>
    </row>
    <row r="71" spans="1:19">
      <c r="A71" s="39">
        <v>39251</v>
      </c>
      <c r="B71">
        <v>1</v>
      </c>
      <c r="C71" s="40" t="s">
        <v>2189</v>
      </c>
      <c r="D71" s="40" t="s">
        <v>2190</v>
      </c>
      <c r="E71" s="40" t="s">
        <v>2191</v>
      </c>
      <c r="F71" s="40" t="s">
        <v>2192</v>
      </c>
      <c r="G71">
        <v>2006</v>
      </c>
      <c r="H71">
        <v>1702</v>
      </c>
      <c r="I71" s="40" t="s">
        <v>1005</v>
      </c>
      <c r="J71" s="40" t="s">
        <v>2193</v>
      </c>
      <c r="K71" s="40" t="s">
        <v>2194</v>
      </c>
      <c r="L71" s="39">
        <v>39188</v>
      </c>
      <c r="M71">
        <v>7</v>
      </c>
      <c r="N71">
        <v>2</v>
      </c>
      <c r="O71">
        <v>111</v>
      </c>
      <c r="P71" s="40" t="s">
        <v>1008</v>
      </c>
      <c r="Q71">
        <v>3</v>
      </c>
      <c r="R71">
        <v>1</v>
      </c>
      <c r="S71">
        <v>2</v>
      </c>
    </row>
    <row r="72" spans="1:19">
      <c r="A72" s="39">
        <v>39251</v>
      </c>
      <c r="B72">
        <v>1</v>
      </c>
      <c r="C72" s="40" t="s">
        <v>2195</v>
      </c>
      <c r="D72" s="40" t="s">
        <v>2196</v>
      </c>
      <c r="E72" s="40" t="s">
        <v>2197</v>
      </c>
      <c r="F72" s="40" t="s">
        <v>2198</v>
      </c>
      <c r="G72">
        <v>2006</v>
      </c>
      <c r="H72">
        <v>1702</v>
      </c>
      <c r="I72" s="40" t="s">
        <v>1005</v>
      </c>
      <c r="J72" s="40" t="s">
        <v>2199</v>
      </c>
      <c r="K72" s="40" t="s">
        <v>2200</v>
      </c>
      <c r="L72" s="39">
        <v>39195</v>
      </c>
      <c r="M72">
        <v>9</v>
      </c>
      <c r="N72">
        <v>0</v>
      </c>
      <c r="O72">
        <v>111</v>
      </c>
      <c r="P72" s="40" t="s">
        <v>1008</v>
      </c>
      <c r="Q72">
        <v>1</v>
      </c>
      <c r="R72">
        <v>1</v>
      </c>
      <c r="S72">
        <v>2</v>
      </c>
    </row>
    <row r="73" spans="1:19">
      <c r="A73" s="39">
        <v>39254</v>
      </c>
      <c r="B73">
        <v>1</v>
      </c>
      <c r="C73" s="40" t="s">
        <v>2201</v>
      </c>
      <c r="D73" s="40" t="s">
        <v>2202</v>
      </c>
      <c r="E73" s="40" t="s">
        <v>2203</v>
      </c>
      <c r="F73" s="40" t="s">
        <v>2204</v>
      </c>
      <c r="G73">
        <v>2006</v>
      </c>
      <c r="H73">
        <v>1702</v>
      </c>
      <c r="I73" s="40" t="s">
        <v>1005</v>
      </c>
      <c r="J73" s="40" t="s">
        <v>2205</v>
      </c>
      <c r="K73" s="40" t="s">
        <v>2206</v>
      </c>
      <c r="L73" s="39">
        <v>39190</v>
      </c>
      <c r="M73">
        <v>9</v>
      </c>
      <c r="N73">
        <v>0</v>
      </c>
      <c r="O73">
        <v>111</v>
      </c>
      <c r="P73" s="40" t="s">
        <v>1008</v>
      </c>
      <c r="Q73">
        <v>3</v>
      </c>
      <c r="R73">
        <v>1</v>
      </c>
      <c r="S73">
        <v>2</v>
      </c>
    </row>
    <row r="74" spans="1:19">
      <c r="A74" s="39">
        <v>39254</v>
      </c>
      <c r="B74">
        <v>1</v>
      </c>
      <c r="C74" s="40" t="s">
        <v>2207</v>
      </c>
      <c r="D74" s="40" t="s">
        <v>2208</v>
      </c>
      <c r="E74" s="40" t="s">
        <v>2209</v>
      </c>
      <c r="F74" s="40" t="s">
        <v>2210</v>
      </c>
      <c r="G74">
        <v>2006</v>
      </c>
      <c r="H74">
        <v>1702</v>
      </c>
      <c r="I74" s="40" t="s">
        <v>1005</v>
      </c>
      <c r="J74" s="40" t="s">
        <v>2211</v>
      </c>
      <c r="K74" s="40" t="s">
        <v>2212</v>
      </c>
      <c r="L74" s="39">
        <v>39133</v>
      </c>
      <c r="M74">
        <v>8</v>
      </c>
      <c r="N74">
        <v>1</v>
      </c>
      <c r="O74">
        <v>111</v>
      </c>
      <c r="P74" s="40" t="s">
        <v>1008</v>
      </c>
      <c r="Q74">
        <v>1</v>
      </c>
      <c r="R74">
        <v>1</v>
      </c>
      <c r="S74">
        <v>2</v>
      </c>
    </row>
    <row r="75" spans="1:19">
      <c r="A75" s="39">
        <v>39258</v>
      </c>
      <c r="B75">
        <v>1</v>
      </c>
      <c r="C75" s="40" t="s">
        <v>2213</v>
      </c>
      <c r="D75" s="40" t="s">
        <v>2214</v>
      </c>
      <c r="E75" s="40" t="s">
        <v>2215</v>
      </c>
      <c r="F75" s="40" t="s">
        <v>2216</v>
      </c>
      <c r="G75">
        <v>2006</v>
      </c>
      <c r="H75">
        <v>1702</v>
      </c>
      <c r="I75" s="40" t="s">
        <v>1005</v>
      </c>
      <c r="J75" s="40" t="s">
        <v>2217</v>
      </c>
      <c r="K75" s="40" t="s">
        <v>2218</v>
      </c>
      <c r="L75" s="39">
        <v>39160</v>
      </c>
      <c r="M75">
        <v>7</v>
      </c>
      <c r="N75">
        <v>2</v>
      </c>
      <c r="O75">
        <v>111</v>
      </c>
      <c r="P75" s="40" t="s">
        <v>1008</v>
      </c>
      <c r="Q75">
        <v>1</v>
      </c>
      <c r="R75">
        <v>1</v>
      </c>
      <c r="S75">
        <v>2</v>
      </c>
    </row>
    <row r="76" spans="1:19">
      <c r="A76" s="39">
        <v>39261</v>
      </c>
      <c r="B76">
        <v>1</v>
      </c>
      <c r="C76" s="40" t="s">
        <v>2219</v>
      </c>
      <c r="D76" s="40" t="s">
        <v>2220</v>
      </c>
      <c r="E76" s="40" t="s">
        <v>2221</v>
      </c>
      <c r="F76" s="40" t="s">
        <v>2222</v>
      </c>
      <c r="G76">
        <v>2006</v>
      </c>
      <c r="H76">
        <v>1702</v>
      </c>
      <c r="I76" s="40" t="s">
        <v>1005</v>
      </c>
      <c r="J76" s="40" t="s">
        <v>2223</v>
      </c>
      <c r="K76" s="40" t="s">
        <v>2224</v>
      </c>
      <c r="L76" s="39">
        <v>39055</v>
      </c>
      <c r="M76">
        <v>5</v>
      </c>
      <c r="N76">
        <v>4</v>
      </c>
      <c r="O76">
        <v>111</v>
      </c>
      <c r="P76" s="40" t="s">
        <v>1008</v>
      </c>
      <c r="Q76">
        <v>1</v>
      </c>
      <c r="R76">
        <v>1</v>
      </c>
      <c r="S76">
        <v>2</v>
      </c>
    </row>
    <row r="77" spans="1:19">
      <c r="A77" s="39">
        <v>39261</v>
      </c>
      <c r="B77">
        <v>1</v>
      </c>
      <c r="C77" s="40" t="s">
        <v>2225</v>
      </c>
      <c r="D77" s="40" t="s">
        <v>2226</v>
      </c>
      <c r="E77" s="40" t="s">
        <v>2227</v>
      </c>
      <c r="F77" s="40" t="s">
        <v>2228</v>
      </c>
      <c r="G77">
        <v>2006</v>
      </c>
      <c r="H77">
        <v>1702</v>
      </c>
      <c r="I77" s="40" t="s">
        <v>1005</v>
      </c>
      <c r="J77" s="40" t="s">
        <v>2229</v>
      </c>
      <c r="K77" s="40" t="s">
        <v>2230</v>
      </c>
      <c r="L77" s="39">
        <v>39167</v>
      </c>
      <c r="M77">
        <v>5</v>
      </c>
      <c r="N77">
        <v>4</v>
      </c>
      <c r="O77">
        <v>111</v>
      </c>
      <c r="P77" s="40" t="s">
        <v>1008</v>
      </c>
      <c r="Q77">
        <v>1</v>
      </c>
      <c r="R77">
        <v>1</v>
      </c>
      <c r="S77">
        <v>2</v>
      </c>
    </row>
    <row r="78" spans="1:19">
      <c r="A78" s="39">
        <v>39261</v>
      </c>
      <c r="B78">
        <v>1</v>
      </c>
      <c r="C78" s="40" t="s">
        <v>2231</v>
      </c>
      <c r="D78" s="40" t="s">
        <v>2232</v>
      </c>
      <c r="E78" s="40" t="s">
        <v>2233</v>
      </c>
      <c r="F78" s="40" t="s">
        <v>2234</v>
      </c>
      <c r="G78">
        <v>2006</v>
      </c>
      <c r="H78">
        <v>1702</v>
      </c>
      <c r="I78" s="40" t="s">
        <v>1005</v>
      </c>
      <c r="J78" s="40" t="s">
        <v>2235</v>
      </c>
      <c r="K78" s="40" t="s">
        <v>2236</v>
      </c>
      <c r="L78" s="39">
        <v>39190</v>
      </c>
      <c r="M78">
        <v>5</v>
      </c>
      <c r="N78">
        <v>4</v>
      </c>
      <c r="O78">
        <v>111</v>
      </c>
      <c r="P78" s="40" t="s">
        <v>1008</v>
      </c>
      <c r="Q78">
        <v>2</v>
      </c>
      <c r="R78">
        <v>1</v>
      </c>
      <c r="S78">
        <v>1</v>
      </c>
    </row>
    <row r="79" spans="1:19">
      <c r="A79" s="39">
        <v>39223</v>
      </c>
      <c r="B79">
        <v>6</v>
      </c>
      <c r="C79" s="40" t="s">
        <v>2237</v>
      </c>
      <c r="D79" s="40" t="s">
        <v>2238</v>
      </c>
      <c r="E79" s="40" t="s">
        <v>2239</v>
      </c>
      <c r="F79" s="40" t="s">
        <v>2240</v>
      </c>
      <c r="G79">
        <v>2006</v>
      </c>
      <c r="H79">
        <v>1702</v>
      </c>
      <c r="I79" s="40" t="s">
        <v>1005</v>
      </c>
      <c r="J79" s="40" t="s">
        <v>2241</v>
      </c>
      <c r="K79" s="40" t="s">
        <v>2242</v>
      </c>
      <c r="L79" s="39">
        <v>39162</v>
      </c>
      <c r="M79">
        <v>6</v>
      </c>
      <c r="N79">
        <v>3</v>
      </c>
      <c r="O79">
        <v>111</v>
      </c>
      <c r="P79" s="40" t="s">
        <v>1008</v>
      </c>
      <c r="Q79">
        <v>2</v>
      </c>
      <c r="R79">
        <v>1</v>
      </c>
      <c r="S79">
        <v>1</v>
      </c>
    </row>
    <row r="80" spans="1:19">
      <c r="A80" s="39">
        <v>39251</v>
      </c>
      <c r="B80">
        <v>1</v>
      </c>
      <c r="C80" s="40" t="s">
        <v>2243</v>
      </c>
      <c r="D80" s="40" t="s">
        <v>2244</v>
      </c>
      <c r="E80" s="40" t="s">
        <v>2245</v>
      </c>
      <c r="F80" s="40" t="s">
        <v>2246</v>
      </c>
      <c r="G80">
        <v>2006</v>
      </c>
      <c r="H80">
        <v>1702</v>
      </c>
      <c r="I80" s="40" t="s">
        <v>1005</v>
      </c>
      <c r="J80" s="40" t="s">
        <v>2247</v>
      </c>
      <c r="K80" s="40" t="s">
        <v>2248</v>
      </c>
      <c r="L80" s="39">
        <v>39168</v>
      </c>
      <c r="M80">
        <v>7</v>
      </c>
      <c r="N80">
        <v>1</v>
      </c>
      <c r="O80">
        <v>111</v>
      </c>
      <c r="P80" s="40" t="s">
        <v>1008</v>
      </c>
      <c r="Q80">
        <v>1</v>
      </c>
      <c r="R80">
        <v>2</v>
      </c>
      <c r="S80">
        <v>2</v>
      </c>
    </row>
    <row r="81" spans="1:19">
      <c r="A81" s="39"/>
      <c r="C81" s="40"/>
      <c r="D81" s="40"/>
      <c r="E81" s="40"/>
      <c r="F81" s="40"/>
      <c r="I81" s="40"/>
      <c r="J81" s="40"/>
      <c r="K81" s="40"/>
      <c r="L81" s="39"/>
      <c r="P81" s="40"/>
    </row>
    <row r="82" spans="1:19">
      <c r="A82" s="39"/>
      <c r="C82" s="40"/>
      <c r="D82" s="40"/>
      <c r="E82" s="40"/>
      <c r="F82" s="40"/>
      <c r="I82" s="40"/>
      <c r="J82" s="40"/>
      <c r="K82" s="40"/>
      <c r="L82" s="39"/>
      <c r="P82" s="40"/>
    </row>
    <row r="83" spans="1:19">
      <c r="A83" s="39">
        <v>39010</v>
      </c>
      <c r="B83">
        <v>2</v>
      </c>
      <c r="C83" s="40" t="s">
        <v>2249</v>
      </c>
      <c r="D83" s="40" t="s">
        <v>2250</v>
      </c>
      <c r="E83" s="40" t="s">
        <v>2251</v>
      </c>
      <c r="F83" s="40" t="s">
        <v>2252</v>
      </c>
      <c r="G83">
        <v>2006</v>
      </c>
      <c r="H83">
        <v>1702</v>
      </c>
      <c r="I83" s="40" t="s">
        <v>1005</v>
      </c>
      <c r="J83" s="40" t="s">
        <v>2253</v>
      </c>
      <c r="K83" s="40" t="s">
        <v>2254</v>
      </c>
      <c r="M83">
        <v>9</v>
      </c>
      <c r="N83">
        <v>0</v>
      </c>
      <c r="O83">
        <v>111</v>
      </c>
      <c r="P83" s="40" t="s">
        <v>1008</v>
      </c>
      <c r="Q83">
        <v>1</v>
      </c>
      <c r="R83">
        <v>1</v>
      </c>
      <c r="S83">
        <v>2</v>
      </c>
    </row>
    <row r="84" spans="1:19">
      <c r="A84" s="39">
        <v>39146</v>
      </c>
      <c r="B84">
        <v>2</v>
      </c>
      <c r="C84" s="40" t="s">
        <v>2255</v>
      </c>
      <c r="D84" s="40" t="s">
        <v>2256</v>
      </c>
      <c r="E84" s="40" t="s">
        <v>2257</v>
      </c>
      <c r="F84" s="40" t="s">
        <v>2258</v>
      </c>
      <c r="G84">
        <v>2006</v>
      </c>
      <c r="H84">
        <v>1702</v>
      </c>
      <c r="I84" s="40" t="s">
        <v>1005</v>
      </c>
      <c r="J84" s="40" t="s">
        <v>2259</v>
      </c>
      <c r="K84" s="40" t="s">
        <v>2260</v>
      </c>
      <c r="M84">
        <v>9</v>
      </c>
      <c r="N84">
        <v>0</v>
      </c>
      <c r="O84">
        <v>111</v>
      </c>
      <c r="P84" s="40" t="s">
        <v>1008</v>
      </c>
      <c r="Q84">
        <v>1</v>
      </c>
      <c r="R84">
        <v>1</v>
      </c>
      <c r="S84">
        <v>2</v>
      </c>
    </row>
    <row r="85" spans="1:19">
      <c r="A85" s="39">
        <v>39223</v>
      </c>
      <c r="B85">
        <v>2</v>
      </c>
      <c r="C85" s="40" t="s">
        <v>2261</v>
      </c>
      <c r="D85" s="40" t="s">
        <v>2262</v>
      </c>
      <c r="E85" s="40" t="s">
        <v>2263</v>
      </c>
      <c r="F85" s="40" t="s">
        <v>2264</v>
      </c>
      <c r="G85">
        <v>2006</v>
      </c>
      <c r="H85">
        <v>1702</v>
      </c>
      <c r="I85" s="40" t="s">
        <v>1005</v>
      </c>
      <c r="J85" s="40" t="s">
        <v>2265</v>
      </c>
      <c r="K85" s="40" t="s">
        <v>2266</v>
      </c>
      <c r="M85">
        <v>8</v>
      </c>
      <c r="N85">
        <v>0</v>
      </c>
      <c r="O85">
        <v>111</v>
      </c>
      <c r="P85" s="40" t="s">
        <v>1008</v>
      </c>
      <c r="Q85">
        <v>1</v>
      </c>
      <c r="R85">
        <v>1</v>
      </c>
      <c r="S85">
        <v>2</v>
      </c>
    </row>
    <row r="86" spans="1:19">
      <c r="A86" s="39">
        <v>39237</v>
      </c>
      <c r="B86">
        <v>2</v>
      </c>
      <c r="C86" s="40" t="s">
        <v>2267</v>
      </c>
      <c r="D86" s="40" t="s">
        <v>2268</v>
      </c>
      <c r="E86" s="40" t="s">
        <v>2269</v>
      </c>
      <c r="F86" s="40" t="s">
        <v>2270</v>
      </c>
      <c r="G86">
        <v>2006</v>
      </c>
      <c r="H86">
        <v>1702</v>
      </c>
      <c r="I86" s="40" t="s">
        <v>1005</v>
      </c>
      <c r="J86" s="40" t="s">
        <v>2271</v>
      </c>
      <c r="K86" s="40" t="s">
        <v>2272</v>
      </c>
      <c r="M86">
        <v>7</v>
      </c>
      <c r="N86">
        <v>1</v>
      </c>
      <c r="O86">
        <v>111</v>
      </c>
      <c r="P86" s="40" t="s">
        <v>1008</v>
      </c>
      <c r="Q86">
        <v>1</v>
      </c>
      <c r="R86">
        <v>1</v>
      </c>
      <c r="S86">
        <v>2</v>
      </c>
    </row>
    <row r="87" spans="1:19">
      <c r="A87" s="39">
        <v>39056</v>
      </c>
      <c r="B87">
        <v>6</v>
      </c>
      <c r="C87" s="40" t="s">
        <v>2273</v>
      </c>
      <c r="D87" s="40" t="s">
        <v>1842</v>
      </c>
      <c r="E87" s="40" t="s">
        <v>2274</v>
      </c>
      <c r="F87" s="40" t="s">
        <v>2275</v>
      </c>
      <c r="G87">
        <v>2006</v>
      </c>
      <c r="H87">
        <v>1702</v>
      </c>
      <c r="I87" s="40" t="s">
        <v>1005</v>
      </c>
      <c r="J87" s="40" t="s">
        <v>2276</v>
      </c>
      <c r="K87" s="40" t="s">
        <v>2277</v>
      </c>
      <c r="L87" s="39">
        <v>38993</v>
      </c>
      <c r="M87">
        <v>9</v>
      </c>
      <c r="N87">
        <v>0</v>
      </c>
      <c r="O87">
        <v>111</v>
      </c>
      <c r="P87" s="40" t="s">
        <v>1008</v>
      </c>
      <c r="Q87">
        <v>1</v>
      </c>
      <c r="R87">
        <v>1</v>
      </c>
      <c r="S87">
        <v>2</v>
      </c>
    </row>
    <row r="88" spans="1:19">
      <c r="A88" s="39">
        <v>39091</v>
      </c>
      <c r="B88">
        <v>6</v>
      </c>
      <c r="C88" s="40" t="s">
        <v>2278</v>
      </c>
      <c r="D88" s="40" t="s">
        <v>2279</v>
      </c>
      <c r="E88" s="40" t="s">
        <v>2280</v>
      </c>
      <c r="F88" s="40" t="s">
        <v>2281</v>
      </c>
      <c r="G88">
        <v>2006</v>
      </c>
      <c r="H88">
        <v>1702</v>
      </c>
      <c r="I88" s="40" t="s">
        <v>1005</v>
      </c>
      <c r="J88" s="40" t="s">
        <v>2282</v>
      </c>
      <c r="K88" s="40" t="s">
        <v>2283</v>
      </c>
      <c r="L88" s="39">
        <v>39028</v>
      </c>
      <c r="M88">
        <v>9</v>
      </c>
      <c r="N88">
        <v>0</v>
      </c>
      <c r="O88">
        <v>111</v>
      </c>
      <c r="P88" s="40" t="s">
        <v>1008</v>
      </c>
      <c r="Q88">
        <v>1</v>
      </c>
      <c r="R88">
        <v>1</v>
      </c>
      <c r="S88">
        <v>2</v>
      </c>
    </row>
    <row r="89" spans="1:19">
      <c r="A89" s="39">
        <v>39237</v>
      </c>
      <c r="B89">
        <v>6</v>
      </c>
      <c r="C89" s="40" t="s">
        <v>2284</v>
      </c>
      <c r="D89" s="40" t="s">
        <v>2285</v>
      </c>
      <c r="E89" s="40" t="s">
        <v>2286</v>
      </c>
      <c r="F89" s="40" t="s">
        <v>2287</v>
      </c>
      <c r="G89">
        <v>2006</v>
      </c>
      <c r="H89">
        <v>1702</v>
      </c>
      <c r="I89" s="40" t="s">
        <v>1005</v>
      </c>
      <c r="J89" s="40" t="s">
        <v>2288</v>
      </c>
      <c r="K89" s="40" t="s">
        <v>2289</v>
      </c>
      <c r="L89" s="39">
        <v>39133</v>
      </c>
      <c r="M89">
        <v>9</v>
      </c>
      <c r="N89">
        <v>0</v>
      </c>
      <c r="O89">
        <v>111</v>
      </c>
      <c r="P89" s="40" t="s">
        <v>1008</v>
      </c>
      <c r="Q89">
        <v>1</v>
      </c>
      <c r="R89">
        <v>1</v>
      </c>
      <c r="S89">
        <v>2</v>
      </c>
    </row>
    <row r="93" spans="1:19">
      <c r="A93" s="42" t="s">
        <v>35</v>
      </c>
      <c r="B93" s="47" t="s">
        <v>36</v>
      </c>
      <c r="C93" s="42" t="s">
        <v>37</v>
      </c>
      <c r="D93" s="42" t="s">
        <v>38</v>
      </c>
      <c r="E93" s="42" t="s">
        <v>39</v>
      </c>
      <c r="F93" s="42" t="s">
        <v>40</v>
      </c>
      <c r="G93" s="42" t="s">
        <v>41</v>
      </c>
      <c r="H93" s="42" t="s">
        <v>42</v>
      </c>
      <c r="I93" s="42" t="s">
        <v>1466</v>
      </c>
      <c r="J93" s="42" t="s">
        <v>44</v>
      </c>
    </row>
    <row r="94" spans="1:19" ht="192">
      <c r="A94" s="43">
        <v>8</v>
      </c>
      <c r="B94" s="51" t="s">
        <v>2290</v>
      </c>
      <c r="C94" s="51" t="s">
        <v>2291</v>
      </c>
      <c r="F94" s="56" t="s">
        <v>1010</v>
      </c>
      <c r="G94" s="56" t="s">
        <v>1514</v>
      </c>
      <c r="H94" s="56" t="s">
        <v>2292</v>
      </c>
      <c r="I94" t="s">
        <v>1009</v>
      </c>
    </row>
    <row r="95" spans="1:19" ht="168">
      <c r="A95" s="43">
        <v>10</v>
      </c>
      <c r="B95" s="51" t="s">
        <v>2293</v>
      </c>
      <c r="C95" s="51" t="s">
        <v>2294</v>
      </c>
      <c r="F95" s="56" t="s">
        <v>1010</v>
      </c>
      <c r="G95" s="56" t="s">
        <v>1524</v>
      </c>
      <c r="H95" s="56" t="s">
        <v>1527</v>
      </c>
      <c r="I95" s="56" t="s">
        <v>1009</v>
      </c>
    </row>
    <row r="96" spans="1:19" ht="192">
      <c r="A96" s="43">
        <v>19</v>
      </c>
      <c r="B96" s="51" t="s">
        <v>2295</v>
      </c>
      <c r="C96" s="51" t="s">
        <v>2296</v>
      </c>
      <c r="F96" s="56" t="s">
        <v>1010</v>
      </c>
      <c r="G96" s="56" t="s">
        <v>1514</v>
      </c>
      <c r="H96" s="56" t="s">
        <v>1514</v>
      </c>
      <c r="I96" s="56" t="s">
        <v>1009</v>
      </c>
      <c r="J96" s="56"/>
      <c r="K96" s="56"/>
    </row>
    <row r="97" spans="1:11" ht="192">
      <c r="A97" s="43">
        <v>27</v>
      </c>
      <c r="B97" s="51" t="s">
        <v>2297</v>
      </c>
      <c r="C97" s="51" t="s">
        <v>2298</v>
      </c>
      <c r="F97" s="56" t="s">
        <v>1010</v>
      </c>
      <c r="G97" s="56" t="s">
        <v>1524</v>
      </c>
      <c r="H97" s="56" t="s">
        <v>1469</v>
      </c>
      <c r="I97" s="56" t="s">
        <v>1009</v>
      </c>
      <c r="K97" s="56"/>
    </row>
    <row r="98" spans="1:11" ht="144">
      <c r="A98" s="43">
        <v>67</v>
      </c>
      <c r="B98" s="51" t="s">
        <v>2299</v>
      </c>
      <c r="C98" s="51" t="s">
        <v>2300</v>
      </c>
      <c r="F98" t="s">
        <v>1010</v>
      </c>
      <c r="G98" t="s">
        <v>1514</v>
      </c>
      <c r="H98" t="s">
        <v>1527</v>
      </c>
      <c r="I98" t="s">
        <v>1009</v>
      </c>
    </row>
    <row r="99" spans="1:11" ht="120">
      <c r="A99" s="43">
        <v>68</v>
      </c>
      <c r="B99" s="51" t="s">
        <v>724</v>
      </c>
      <c r="C99" s="51" t="s">
        <v>2301</v>
      </c>
      <c r="F99" t="s">
        <v>1010</v>
      </c>
      <c r="G99" t="s">
        <v>1524</v>
      </c>
      <c r="H99" t="s">
        <v>1527</v>
      </c>
      <c r="I99" t="s">
        <v>1009</v>
      </c>
      <c r="K99" s="56"/>
    </row>
    <row r="100" spans="1:11" ht="84">
      <c r="A100" s="43">
        <v>70</v>
      </c>
      <c r="B100" s="51" t="s">
        <v>2302</v>
      </c>
      <c r="C100" s="51" t="s">
        <v>2303</v>
      </c>
      <c r="F100" t="s">
        <v>1010</v>
      </c>
      <c r="G100" t="s">
        <v>1514</v>
      </c>
      <c r="H100" t="s">
        <v>1527</v>
      </c>
      <c r="I100" t="s">
        <v>1009</v>
      </c>
    </row>
    <row r="101" spans="1:11" ht="180">
      <c r="A101" s="43">
        <v>71</v>
      </c>
      <c r="B101" s="51" t="s">
        <v>2304</v>
      </c>
      <c r="C101" s="51" t="s">
        <v>2305</v>
      </c>
      <c r="F101" t="s">
        <v>1010</v>
      </c>
      <c r="G101" t="s">
        <v>1524</v>
      </c>
      <c r="H101" t="s">
        <v>1469</v>
      </c>
      <c r="I101" t="s">
        <v>1009</v>
      </c>
    </row>
    <row r="102" spans="1:11" ht="192">
      <c r="A102" s="54">
        <v>72</v>
      </c>
      <c r="B102" s="55" t="s">
        <v>2306</v>
      </c>
      <c r="C102" s="55" t="s">
        <v>2307</v>
      </c>
      <c r="D102" s="56"/>
      <c r="E102" s="56"/>
      <c r="F102" s="56" t="s">
        <v>1010</v>
      </c>
      <c r="G102" s="56" t="s">
        <v>1524</v>
      </c>
      <c r="H102" s="56" t="s">
        <v>1473</v>
      </c>
      <c r="I102" s="56" t="s">
        <v>1009</v>
      </c>
      <c r="J102" s="56"/>
    </row>
    <row r="103" spans="1:11" ht="180">
      <c r="A103" s="54">
        <v>73</v>
      </c>
      <c r="B103" s="55" t="s">
        <v>2306</v>
      </c>
      <c r="C103" s="55" t="s">
        <v>2308</v>
      </c>
      <c r="D103" s="56"/>
      <c r="E103" s="56"/>
      <c r="F103" s="56" t="s">
        <v>1010</v>
      </c>
      <c r="G103" s="56" t="s">
        <v>1524</v>
      </c>
      <c r="H103" s="56" t="s">
        <v>1473</v>
      </c>
      <c r="I103" s="56" t="s">
        <v>1009</v>
      </c>
      <c r="J103" s="56"/>
    </row>
    <row r="104" spans="1:11" ht="96">
      <c r="A104" s="43">
        <v>74</v>
      </c>
      <c r="B104" s="51" t="s">
        <v>2309</v>
      </c>
      <c r="C104" s="51" t="s">
        <v>2310</v>
      </c>
      <c r="F104" t="s">
        <v>1010</v>
      </c>
      <c r="G104" t="s">
        <v>1524</v>
      </c>
      <c r="H104" t="s">
        <v>1469</v>
      </c>
      <c r="I104" t="s">
        <v>1009</v>
      </c>
    </row>
    <row r="105" spans="1:11" ht="72">
      <c r="A105" s="43">
        <v>75</v>
      </c>
      <c r="B105" s="51" t="s">
        <v>2311</v>
      </c>
      <c r="C105" s="51" t="s">
        <v>2312</v>
      </c>
      <c r="F105" t="s">
        <v>1010</v>
      </c>
      <c r="G105" t="s">
        <v>1514</v>
      </c>
      <c r="H105" t="s">
        <v>1469</v>
      </c>
      <c r="I105" t="s">
        <v>1009</v>
      </c>
    </row>
    <row r="106" spans="1:11" ht="108">
      <c r="A106" s="43">
        <v>76</v>
      </c>
      <c r="B106" s="51" t="s">
        <v>2313</v>
      </c>
      <c r="C106" s="51" t="s">
        <v>2314</v>
      </c>
      <c r="F106" t="s">
        <v>1010</v>
      </c>
      <c r="G106" t="s">
        <v>1524</v>
      </c>
      <c r="H106" t="s">
        <v>1514</v>
      </c>
      <c r="I106" t="s">
        <v>1009</v>
      </c>
    </row>
    <row r="107" spans="1:11" ht="96">
      <c r="A107" s="43">
        <v>77</v>
      </c>
      <c r="B107" s="51" t="s">
        <v>2315</v>
      </c>
      <c r="C107" s="51" t="s">
        <v>2316</v>
      </c>
      <c r="F107" t="s">
        <v>1010</v>
      </c>
      <c r="G107" t="s">
        <v>1514</v>
      </c>
      <c r="H107" t="s">
        <v>1469</v>
      </c>
      <c r="I107" t="s">
        <v>1009</v>
      </c>
    </row>
    <row r="108" spans="1:11" ht="96">
      <c r="A108" s="43">
        <v>78</v>
      </c>
      <c r="B108" s="51" t="s">
        <v>2317</v>
      </c>
      <c r="C108" s="51" t="s">
        <v>2318</v>
      </c>
      <c r="F108" t="s">
        <v>1010</v>
      </c>
      <c r="G108" t="s">
        <v>1514</v>
      </c>
      <c r="H108" t="s">
        <v>1469</v>
      </c>
      <c r="I108" t="s">
        <v>1009</v>
      </c>
    </row>
    <row r="109" spans="1:11" ht="84">
      <c r="A109" s="43">
        <v>79</v>
      </c>
      <c r="B109" s="51" t="s">
        <v>2319</v>
      </c>
      <c r="C109" s="51" t="s">
        <v>2320</v>
      </c>
      <c r="F109" t="s">
        <v>1010</v>
      </c>
      <c r="G109" t="s">
        <v>1524</v>
      </c>
      <c r="H109" t="s">
        <v>1469</v>
      </c>
      <c r="I109" t="s">
        <v>1009</v>
      </c>
    </row>
    <row r="110" spans="1:11" ht="96">
      <c r="A110" s="43">
        <v>80</v>
      </c>
      <c r="B110" s="51" t="s">
        <v>2321</v>
      </c>
      <c r="C110" s="51" t="s">
        <v>2322</v>
      </c>
      <c r="F110" t="s">
        <v>1010</v>
      </c>
      <c r="G110" t="s">
        <v>1514</v>
      </c>
      <c r="H110" t="s">
        <v>1469</v>
      </c>
      <c r="I110" t="s">
        <v>1009</v>
      </c>
    </row>
    <row r="111" spans="1:11" ht="96">
      <c r="A111" s="54">
        <v>81</v>
      </c>
      <c r="B111" s="55" t="s">
        <v>2323</v>
      </c>
      <c r="C111" s="55" t="s">
        <v>2324</v>
      </c>
      <c r="D111" s="56"/>
      <c r="E111" s="56"/>
      <c r="F111" s="56" t="s">
        <v>1010</v>
      </c>
      <c r="G111" s="56" t="s">
        <v>1514</v>
      </c>
      <c r="H111" s="56" t="s">
        <v>1473</v>
      </c>
      <c r="I111" s="56" t="s">
        <v>1009</v>
      </c>
      <c r="J111" s="56"/>
    </row>
    <row r="112" spans="1:11" ht="96">
      <c r="A112" s="43">
        <v>82</v>
      </c>
      <c r="B112" s="51" t="s">
        <v>2325</v>
      </c>
      <c r="C112" s="51" t="s">
        <v>2326</v>
      </c>
      <c r="F112" t="s">
        <v>1010</v>
      </c>
      <c r="G112" t="s">
        <v>1524</v>
      </c>
      <c r="H112" t="s">
        <v>1469</v>
      </c>
      <c r="I112" t="s">
        <v>1009</v>
      </c>
    </row>
    <row r="113" spans="1:11" ht="96">
      <c r="A113" s="43">
        <v>83</v>
      </c>
      <c r="B113" s="51" t="s">
        <v>2327</v>
      </c>
      <c r="C113" s="51" t="s">
        <v>2328</v>
      </c>
      <c r="F113" t="s">
        <v>1010</v>
      </c>
      <c r="G113" t="s">
        <v>1514</v>
      </c>
      <c r="H113" t="s">
        <v>1514</v>
      </c>
      <c r="I113" t="s">
        <v>1009</v>
      </c>
    </row>
    <row r="114" spans="1:11" ht="72">
      <c r="A114" s="43">
        <v>84</v>
      </c>
      <c r="B114" s="51" t="s">
        <v>2329</v>
      </c>
      <c r="C114" s="51" t="s">
        <v>2330</v>
      </c>
      <c r="F114" t="s">
        <v>1010</v>
      </c>
      <c r="G114" t="s">
        <v>1514</v>
      </c>
      <c r="H114" t="s">
        <v>1527</v>
      </c>
      <c r="I114" t="s">
        <v>1009</v>
      </c>
    </row>
    <row r="115" spans="1:11" ht="72">
      <c r="A115" s="43">
        <v>85</v>
      </c>
      <c r="B115" s="51" t="s">
        <v>2331</v>
      </c>
      <c r="C115" s="51" t="s">
        <v>2332</v>
      </c>
      <c r="F115" t="s">
        <v>1010</v>
      </c>
      <c r="G115" t="s">
        <v>1514</v>
      </c>
      <c r="H115" t="s">
        <v>1469</v>
      </c>
      <c r="I115" t="s">
        <v>1009</v>
      </c>
    </row>
    <row r="116" spans="1:11" ht="72">
      <c r="A116" s="43">
        <v>86</v>
      </c>
      <c r="B116" s="51" t="s">
        <v>2333</v>
      </c>
      <c r="C116" s="51" t="s">
        <v>2334</v>
      </c>
      <c r="F116" t="s">
        <v>1010</v>
      </c>
      <c r="G116" t="s">
        <v>1514</v>
      </c>
      <c r="H116" t="s">
        <v>1469</v>
      </c>
      <c r="I116" t="s">
        <v>1009</v>
      </c>
    </row>
    <row r="117" spans="1:11" ht="72">
      <c r="A117" s="43">
        <v>87</v>
      </c>
      <c r="B117" s="51" t="s">
        <v>152</v>
      </c>
      <c r="C117" s="51" t="s">
        <v>2335</v>
      </c>
      <c r="F117" t="s">
        <v>1010</v>
      </c>
      <c r="G117" t="s">
        <v>1524</v>
      </c>
      <c r="H117" t="s">
        <v>1469</v>
      </c>
      <c r="I117" t="s">
        <v>1009</v>
      </c>
    </row>
    <row r="118" spans="1:11" ht="84">
      <c r="A118" s="43">
        <v>89</v>
      </c>
      <c r="B118" s="51" t="s">
        <v>2336</v>
      </c>
      <c r="C118" s="51" t="s">
        <v>2337</v>
      </c>
      <c r="F118" t="s">
        <v>1010</v>
      </c>
      <c r="G118" t="s">
        <v>1524</v>
      </c>
      <c r="H118" t="s">
        <v>1514</v>
      </c>
      <c r="I118" t="s">
        <v>1009</v>
      </c>
      <c r="K118" s="56"/>
    </row>
    <row r="119" spans="1:11" ht="72">
      <c r="A119" s="43">
        <v>90</v>
      </c>
      <c r="B119" s="51" t="s">
        <v>2338</v>
      </c>
      <c r="C119" s="51" t="s">
        <v>2339</v>
      </c>
      <c r="F119" t="s">
        <v>1010</v>
      </c>
      <c r="G119" t="s">
        <v>1514</v>
      </c>
      <c r="H119" t="s">
        <v>1469</v>
      </c>
      <c r="I119" t="s">
        <v>1009</v>
      </c>
    </row>
    <row r="120" spans="1:11" ht="108">
      <c r="A120" s="54">
        <v>91</v>
      </c>
      <c r="B120" s="55" t="s">
        <v>2340</v>
      </c>
      <c r="C120" s="55" t="s">
        <v>2341</v>
      </c>
      <c r="D120" s="56"/>
      <c r="E120" s="56"/>
      <c r="F120" s="56" t="s">
        <v>1010</v>
      </c>
      <c r="G120" s="56" t="s">
        <v>1524</v>
      </c>
      <c r="H120" s="56" t="s">
        <v>1473</v>
      </c>
      <c r="I120" s="56" t="s">
        <v>1009</v>
      </c>
      <c r="J120" s="56"/>
    </row>
    <row r="121" spans="1:11" ht="72">
      <c r="A121" s="43">
        <v>92</v>
      </c>
      <c r="B121" s="51" t="s">
        <v>2342</v>
      </c>
      <c r="C121" s="51" t="s">
        <v>2343</v>
      </c>
      <c r="F121" t="s">
        <v>1010</v>
      </c>
      <c r="G121" t="s">
        <v>1524</v>
      </c>
      <c r="H121" t="s">
        <v>1469</v>
      </c>
      <c r="I121" t="s">
        <v>1009</v>
      </c>
    </row>
    <row r="122" spans="1:11" ht="72">
      <c r="A122" s="43">
        <v>93</v>
      </c>
      <c r="B122" s="51" t="s">
        <v>2344</v>
      </c>
      <c r="C122" s="51" t="s">
        <v>2345</v>
      </c>
      <c r="F122" t="s">
        <v>1010</v>
      </c>
      <c r="G122" t="s">
        <v>1514</v>
      </c>
      <c r="H122" t="s">
        <v>1469</v>
      </c>
      <c r="I122" t="s">
        <v>1009</v>
      </c>
    </row>
    <row r="123" spans="1:11" ht="108">
      <c r="A123" s="43">
        <v>94</v>
      </c>
      <c r="B123" s="51" t="s">
        <v>2346</v>
      </c>
      <c r="C123" s="51" t="s">
        <v>2347</v>
      </c>
      <c r="F123" t="s">
        <v>1010</v>
      </c>
      <c r="G123" t="s">
        <v>1514</v>
      </c>
      <c r="H123" t="s">
        <v>1469</v>
      </c>
      <c r="I123" t="s">
        <v>1009</v>
      </c>
    </row>
    <row r="124" spans="1:11" ht="72">
      <c r="A124" s="43">
        <v>95</v>
      </c>
      <c r="B124" s="51" t="s">
        <v>2348</v>
      </c>
      <c r="C124" s="51" t="s">
        <v>2349</v>
      </c>
      <c r="F124" t="s">
        <v>1010</v>
      </c>
      <c r="G124" t="s">
        <v>1514</v>
      </c>
      <c r="H124" t="s">
        <v>1469</v>
      </c>
      <c r="I124" t="s">
        <v>1009</v>
      </c>
    </row>
    <row r="125" spans="1:11" ht="108">
      <c r="A125" s="43">
        <v>96</v>
      </c>
      <c r="B125" s="51" t="s">
        <v>2342</v>
      </c>
      <c r="C125" s="51" t="s">
        <v>2350</v>
      </c>
      <c r="F125" t="s">
        <v>1010</v>
      </c>
      <c r="G125" t="s">
        <v>1524</v>
      </c>
      <c r="H125" t="s">
        <v>1469</v>
      </c>
      <c r="I125" t="s">
        <v>1009</v>
      </c>
    </row>
    <row r="126" spans="1:11" ht="72">
      <c r="A126" s="43">
        <v>97</v>
      </c>
      <c r="B126" s="51" t="s">
        <v>2351</v>
      </c>
      <c r="C126" s="51" t="s">
        <v>2352</v>
      </c>
      <c r="F126" t="s">
        <v>1010</v>
      </c>
      <c r="G126" t="s">
        <v>1524</v>
      </c>
      <c r="H126" t="s">
        <v>1469</v>
      </c>
      <c r="I126" t="s">
        <v>1009</v>
      </c>
    </row>
    <row r="127" spans="1:11" ht="72">
      <c r="A127" s="43">
        <v>98</v>
      </c>
      <c r="B127" s="51" t="s">
        <v>2353</v>
      </c>
      <c r="C127" s="51" t="s">
        <v>2354</v>
      </c>
      <c r="F127" t="s">
        <v>1010</v>
      </c>
      <c r="G127" t="s">
        <v>1524</v>
      </c>
      <c r="H127" t="s">
        <v>1514</v>
      </c>
      <c r="I127" t="s">
        <v>1009</v>
      </c>
    </row>
    <row r="128" spans="1:11" ht="96">
      <c r="A128" s="43">
        <v>99</v>
      </c>
      <c r="B128" s="51" t="s">
        <v>2355</v>
      </c>
      <c r="C128" s="51" t="s">
        <v>2356</v>
      </c>
      <c r="F128" t="s">
        <v>1010</v>
      </c>
      <c r="G128" t="s">
        <v>1524</v>
      </c>
      <c r="H128" t="s">
        <v>1469</v>
      </c>
      <c r="I128" t="s">
        <v>1009</v>
      </c>
    </row>
    <row r="129" spans="1:10" ht="96">
      <c r="A129" s="43">
        <v>100</v>
      </c>
      <c r="B129" s="51" t="s">
        <v>2357</v>
      </c>
      <c r="C129" s="51" t="s">
        <v>2358</v>
      </c>
      <c r="F129" t="s">
        <v>1010</v>
      </c>
      <c r="G129" t="s">
        <v>1514</v>
      </c>
      <c r="H129" t="s">
        <v>1469</v>
      </c>
      <c r="I129" t="s">
        <v>1009</v>
      </c>
    </row>
    <row r="130" spans="1:10" ht="96">
      <c r="A130" s="43">
        <v>101</v>
      </c>
      <c r="B130" s="51" t="s">
        <v>2359</v>
      </c>
      <c r="C130" s="51" t="s">
        <v>2360</v>
      </c>
      <c r="F130" t="s">
        <v>1010</v>
      </c>
      <c r="G130" t="s">
        <v>1524</v>
      </c>
      <c r="H130" t="s">
        <v>1469</v>
      </c>
      <c r="I130" t="s">
        <v>1009</v>
      </c>
    </row>
    <row r="131" spans="1:10" ht="96">
      <c r="A131" s="43">
        <v>102</v>
      </c>
      <c r="B131" s="51" t="s">
        <v>2361</v>
      </c>
      <c r="C131" s="51" t="s">
        <v>2362</v>
      </c>
      <c r="F131" t="s">
        <v>1010</v>
      </c>
      <c r="G131" t="s">
        <v>1514</v>
      </c>
      <c r="H131" t="s">
        <v>1469</v>
      </c>
      <c r="I131" t="s">
        <v>1009</v>
      </c>
    </row>
    <row r="132" spans="1:10" ht="96">
      <c r="A132" s="43">
        <v>103</v>
      </c>
      <c r="B132" s="51" t="s">
        <v>2363</v>
      </c>
      <c r="C132" s="51" t="s">
        <v>2364</v>
      </c>
      <c r="F132" t="s">
        <v>1010</v>
      </c>
      <c r="G132" t="s">
        <v>1524</v>
      </c>
      <c r="H132" t="s">
        <v>1469</v>
      </c>
      <c r="I132" t="s">
        <v>1009</v>
      </c>
    </row>
    <row r="133" spans="1:10" ht="108">
      <c r="A133" s="43">
        <v>104</v>
      </c>
      <c r="B133" s="51" t="s">
        <v>2365</v>
      </c>
      <c r="C133" s="51" t="s">
        <v>2366</v>
      </c>
      <c r="F133" t="s">
        <v>1010</v>
      </c>
      <c r="G133" t="s">
        <v>1514</v>
      </c>
      <c r="H133" t="s">
        <v>1469</v>
      </c>
      <c r="I133" t="s">
        <v>1009</v>
      </c>
    </row>
    <row r="134" spans="1:10" ht="72">
      <c r="A134" s="43">
        <v>105</v>
      </c>
      <c r="B134" s="51" t="s">
        <v>2367</v>
      </c>
      <c r="C134" s="51" t="s">
        <v>2368</v>
      </c>
      <c r="F134" t="s">
        <v>1010</v>
      </c>
      <c r="G134" t="s">
        <v>1514</v>
      </c>
      <c r="H134" t="s">
        <v>1469</v>
      </c>
      <c r="I134" t="s">
        <v>1009</v>
      </c>
    </row>
    <row r="135" spans="1:10" ht="96">
      <c r="A135" s="43">
        <v>106</v>
      </c>
      <c r="B135" s="51" t="s">
        <v>2369</v>
      </c>
      <c r="C135" s="51" t="s">
        <v>2370</v>
      </c>
      <c r="F135" t="s">
        <v>1010</v>
      </c>
      <c r="G135" t="s">
        <v>1524</v>
      </c>
      <c r="H135" t="s">
        <v>1469</v>
      </c>
      <c r="I135" t="s">
        <v>1009</v>
      </c>
    </row>
    <row r="136" spans="1:10" ht="84">
      <c r="A136" s="43">
        <v>107</v>
      </c>
      <c r="B136" s="51" t="s">
        <v>2371</v>
      </c>
      <c r="C136" s="51" t="s">
        <v>2372</v>
      </c>
      <c r="F136" t="s">
        <v>1010</v>
      </c>
      <c r="G136" t="s">
        <v>1524</v>
      </c>
      <c r="H136" t="s">
        <v>1527</v>
      </c>
      <c r="I136" t="s">
        <v>1009</v>
      </c>
    </row>
    <row r="137" spans="1:10" ht="84">
      <c r="A137" s="43">
        <v>108</v>
      </c>
      <c r="B137" s="51" t="s">
        <v>2373</v>
      </c>
      <c r="C137" s="51" t="s">
        <v>2374</v>
      </c>
      <c r="F137" t="s">
        <v>1010</v>
      </c>
      <c r="G137" t="s">
        <v>1524</v>
      </c>
      <c r="H137" t="s">
        <v>1527</v>
      </c>
      <c r="I137" t="s">
        <v>1009</v>
      </c>
    </row>
    <row r="138" spans="1:10" ht="96">
      <c r="A138" s="54">
        <v>109</v>
      </c>
      <c r="B138" s="55" t="s">
        <v>2375</v>
      </c>
      <c r="C138" s="55" t="s">
        <v>2376</v>
      </c>
      <c r="D138" s="56"/>
      <c r="E138" s="56"/>
      <c r="F138" s="56" t="s">
        <v>1010</v>
      </c>
      <c r="G138" s="56" t="s">
        <v>1514</v>
      </c>
      <c r="H138" s="56" t="s">
        <v>1473</v>
      </c>
      <c r="I138" s="56" t="s">
        <v>1009</v>
      </c>
      <c r="J138" s="56"/>
    </row>
    <row r="139" spans="1:10" ht="108">
      <c r="A139" s="43">
        <v>110</v>
      </c>
      <c r="B139" s="51" t="s">
        <v>2377</v>
      </c>
      <c r="C139" s="51" t="s">
        <v>2378</v>
      </c>
      <c r="F139" t="s">
        <v>1010</v>
      </c>
      <c r="G139" t="s">
        <v>1524</v>
      </c>
      <c r="H139" t="s">
        <v>1469</v>
      </c>
      <c r="I139" t="s">
        <v>1009</v>
      </c>
    </row>
    <row r="140" spans="1:10" ht="96">
      <c r="A140" s="43">
        <v>111</v>
      </c>
      <c r="B140" s="51" t="s">
        <v>2379</v>
      </c>
      <c r="C140" s="51" t="s">
        <v>2380</v>
      </c>
      <c r="F140" t="s">
        <v>1010</v>
      </c>
      <c r="G140" t="s">
        <v>1514</v>
      </c>
      <c r="H140" t="s">
        <v>1469</v>
      </c>
      <c r="I140" t="s">
        <v>1009</v>
      </c>
    </row>
    <row r="141" spans="1:10" ht="96">
      <c r="A141" s="43">
        <v>112</v>
      </c>
      <c r="B141" s="51" t="s">
        <v>2381</v>
      </c>
      <c r="C141" s="51" t="s">
        <v>2382</v>
      </c>
      <c r="F141" t="s">
        <v>1010</v>
      </c>
      <c r="G141" t="s">
        <v>1514</v>
      </c>
      <c r="H141" t="s">
        <v>1469</v>
      </c>
      <c r="I141" t="s">
        <v>1009</v>
      </c>
    </row>
    <row r="142" spans="1:10" ht="96">
      <c r="A142" s="43">
        <v>113</v>
      </c>
      <c r="B142" s="51" t="s">
        <v>198</v>
      </c>
      <c r="C142" s="51" t="s">
        <v>2383</v>
      </c>
      <c r="F142" t="s">
        <v>1010</v>
      </c>
      <c r="G142" t="s">
        <v>1524</v>
      </c>
      <c r="H142" t="s">
        <v>1469</v>
      </c>
      <c r="I142" t="s">
        <v>1009</v>
      </c>
    </row>
    <row r="143" spans="1:10" ht="96">
      <c r="A143" s="43">
        <v>114</v>
      </c>
      <c r="B143" s="51" t="s">
        <v>2384</v>
      </c>
      <c r="C143" s="51" t="s">
        <v>2385</v>
      </c>
      <c r="F143" t="s">
        <v>1010</v>
      </c>
      <c r="G143" t="s">
        <v>1514</v>
      </c>
      <c r="H143" t="s">
        <v>1527</v>
      </c>
      <c r="I143" t="s">
        <v>1009</v>
      </c>
    </row>
    <row r="144" spans="1:10" ht="84">
      <c r="A144" s="43">
        <v>115</v>
      </c>
      <c r="B144" s="51" t="s">
        <v>2386</v>
      </c>
      <c r="C144" s="51" t="s">
        <v>2387</v>
      </c>
      <c r="F144" t="s">
        <v>1010</v>
      </c>
      <c r="G144" t="s">
        <v>1514</v>
      </c>
      <c r="H144" t="s">
        <v>1514</v>
      </c>
      <c r="I144" t="s">
        <v>1009</v>
      </c>
    </row>
    <row r="145" spans="1:9" ht="84">
      <c r="A145" s="43">
        <v>116</v>
      </c>
      <c r="B145" s="51" t="s">
        <v>2388</v>
      </c>
      <c r="C145" s="51" t="s">
        <v>2389</v>
      </c>
      <c r="F145" t="s">
        <v>1010</v>
      </c>
      <c r="G145" t="s">
        <v>1524</v>
      </c>
      <c r="H145" t="s">
        <v>1469</v>
      </c>
      <c r="I145" t="s">
        <v>1009</v>
      </c>
    </row>
    <row r="146" spans="1:9" ht="96">
      <c r="A146" s="43">
        <v>117</v>
      </c>
      <c r="B146" s="51" t="s">
        <v>2390</v>
      </c>
      <c r="C146" s="51" t="s">
        <v>2391</v>
      </c>
      <c r="F146" t="s">
        <v>1010</v>
      </c>
      <c r="G146" t="s">
        <v>1524</v>
      </c>
      <c r="H146" t="s">
        <v>1473</v>
      </c>
      <c r="I146" t="s">
        <v>1009</v>
      </c>
    </row>
    <row r="147" spans="1:9" ht="72">
      <c r="A147" s="43">
        <v>118</v>
      </c>
      <c r="B147" s="51" t="s">
        <v>2392</v>
      </c>
      <c r="C147" s="51" t="s">
        <v>2393</v>
      </c>
      <c r="F147" t="s">
        <v>1010</v>
      </c>
      <c r="G147" t="s">
        <v>1514</v>
      </c>
      <c r="H147" t="s">
        <v>1469</v>
      </c>
      <c r="I147" t="s">
        <v>1009</v>
      </c>
    </row>
    <row r="148" spans="1:9" ht="96">
      <c r="A148" s="43">
        <v>119</v>
      </c>
      <c r="B148" s="51" t="s">
        <v>2394</v>
      </c>
      <c r="C148" s="51" t="s">
        <v>2395</v>
      </c>
      <c r="F148" t="s">
        <v>1010</v>
      </c>
      <c r="G148" t="s">
        <v>1514</v>
      </c>
      <c r="H148" t="s">
        <v>1469</v>
      </c>
      <c r="I148" t="s">
        <v>1009</v>
      </c>
    </row>
    <row r="149" spans="1:9" ht="96">
      <c r="A149" s="43">
        <v>120</v>
      </c>
      <c r="B149" s="51" t="s">
        <v>2396</v>
      </c>
      <c r="C149" s="51" t="s">
        <v>2397</v>
      </c>
      <c r="F149" t="s">
        <v>1010</v>
      </c>
      <c r="G149" t="s">
        <v>1524</v>
      </c>
      <c r="H149" t="s">
        <v>2292</v>
      </c>
      <c r="I149" t="s">
        <v>1009</v>
      </c>
    </row>
    <row r="150" spans="1:9" ht="84">
      <c r="A150" s="43">
        <v>121</v>
      </c>
      <c r="B150" s="51" t="s">
        <v>2398</v>
      </c>
      <c r="C150" s="51" t="s">
        <v>2399</v>
      </c>
      <c r="F150" t="s">
        <v>1010</v>
      </c>
      <c r="G150" t="s">
        <v>1524</v>
      </c>
      <c r="H150" t="s">
        <v>1469</v>
      </c>
      <c r="I150" t="s">
        <v>1009</v>
      </c>
    </row>
    <row r="151" spans="1:9" ht="72">
      <c r="A151" s="43">
        <v>122</v>
      </c>
      <c r="B151" s="51" t="s">
        <v>2400</v>
      </c>
      <c r="C151" s="51" t="s">
        <v>2401</v>
      </c>
      <c r="F151" t="s">
        <v>1010</v>
      </c>
      <c r="G151" t="s">
        <v>1524</v>
      </c>
      <c r="H151" t="s">
        <v>1514</v>
      </c>
      <c r="I151" t="s">
        <v>1009</v>
      </c>
    </row>
    <row r="152" spans="1:9" ht="108">
      <c r="A152" s="43">
        <v>123</v>
      </c>
      <c r="B152" s="51" t="s">
        <v>2402</v>
      </c>
      <c r="C152" s="51" t="s">
        <v>2403</v>
      </c>
      <c r="F152" t="s">
        <v>1010</v>
      </c>
      <c r="G152" t="s">
        <v>1524</v>
      </c>
      <c r="H152" t="s">
        <v>1469</v>
      </c>
      <c r="I152" t="s">
        <v>1009</v>
      </c>
    </row>
    <row r="153" spans="1:9" ht="120">
      <c r="A153" s="43">
        <v>124</v>
      </c>
      <c r="B153" s="51" t="s">
        <v>2404</v>
      </c>
      <c r="C153" s="51" t="s">
        <v>2405</v>
      </c>
      <c r="F153" t="s">
        <v>1010</v>
      </c>
      <c r="G153" t="s">
        <v>1514</v>
      </c>
      <c r="H153" t="s">
        <v>1469</v>
      </c>
      <c r="I153" t="s">
        <v>1009</v>
      </c>
    </row>
    <row r="154" spans="1:9" ht="72">
      <c r="A154" s="43">
        <v>125</v>
      </c>
      <c r="B154" s="51" t="s">
        <v>2406</v>
      </c>
      <c r="C154" s="51" t="s">
        <v>2407</v>
      </c>
      <c r="F154" t="s">
        <v>1010</v>
      </c>
      <c r="G154" t="s">
        <v>1514</v>
      </c>
      <c r="H154" t="s">
        <v>1469</v>
      </c>
      <c r="I154" t="s">
        <v>1009</v>
      </c>
    </row>
    <row r="155" spans="1:9" ht="96">
      <c r="A155" s="43">
        <v>126</v>
      </c>
      <c r="B155" s="51" t="s">
        <v>2408</v>
      </c>
      <c r="C155" s="51" t="s">
        <v>2409</v>
      </c>
      <c r="F155" t="s">
        <v>1010</v>
      </c>
      <c r="G155" t="s">
        <v>1524</v>
      </c>
      <c r="H155" t="s">
        <v>1527</v>
      </c>
      <c r="I155" t="s">
        <v>1009</v>
      </c>
    </row>
    <row r="156" spans="1:9" ht="72">
      <c r="A156" s="43">
        <v>127</v>
      </c>
      <c r="B156" s="51" t="s">
        <v>2410</v>
      </c>
      <c r="C156" s="51" t="s">
        <v>2411</v>
      </c>
      <c r="F156" t="s">
        <v>1010</v>
      </c>
      <c r="G156" t="s">
        <v>1524</v>
      </c>
      <c r="H156" t="s">
        <v>1473</v>
      </c>
      <c r="I156" t="s">
        <v>1009</v>
      </c>
    </row>
    <row r="157" spans="1:9" ht="84">
      <c r="A157" s="43">
        <v>128</v>
      </c>
      <c r="B157" s="51" t="s">
        <v>2412</v>
      </c>
      <c r="C157" s="51" t="s">
        <v>2413</v>
      </c>
      <c r="F157" t="s">
        <v>1010</v>
      </c>
      <c r="G157" t="s">
        <v>1514</v>
      </c>
      <c r="H157" t="s">
        <v>1469</v>
      </c>
      <c r="I157" t="s">
        <v>1009</v>
      </c>
    </row>
    <row r="158" spans="1:9" ht="108">
      <c r="A158" s="43">
        <v>129</v>
      </c>
      <c r="B158" s="51" t="s">
        <v>2414</v>
      </c>
      <c r="C158" s="51" t="s">
        <v>2415</v>
      </c>
      <c r="F158" t="s">
        <v>1010</v>
      </c>
      <c r="G158" t="s">
        <v>1524</v>
      </c>
      <c r="H158" t="s">
        <v>1469</v>
      </c>
      <c r="I158" t="s">
        <v>1009</v>
      </c>
    </row>
    <row r="159" spans="1:9" ht="84">
      <c r="A159" s="43">
        <v>130</v>
      </c>
      <c r="B159" s="51" t="s">
        <v>2416</v>
      </c>
      <c r="C159" s="51" t="s">
        <v>2417</v>
      </c>
      <c r="F159" t="s">
        <v>1010</v>
      </c>
      <c r="G159" t="s">
        <v>1524</v>
      </c>
      <c r="H159" t="s">
        <v>1527</v>
      </c>
      <c r="I159" t="s">
        <v>1009</v>
      </c>
    </row>
    <row r="160" spans="1:9" ht="84">
      <c r="A160" s="43">
        <v>131</v>
      </c>
      <c r="B160" s="51" t="s">
        <v>2418</v>
      </c>
      <c r="C160" s="51" t="s">
        <v>2419</v>
      </c>
      <c r="F160" t="s">
        <v>1010</v>
      </c>
      <c r="G160" t="s">
        <v>1524</v>
      </c>
      <c r="H160" t="s">
        <v>1469</v>
      </c>
      <c r="I160" t="s">
        <v>1009</v>
      </c>
    </row>
    <row r="161" spans="1:11" ht="72">
      <c r="A161" s="43">
        <v>132</v>
      </c>
      <c r="B161" s="51" t="s">
        <v>2420</v>
      </c>
      <c r="C161" s="51" t="s">
        <v>2421</v>
      </c>
      <c r="F161" t="s">
        <v>1010</v>
      </c>
      <c r="G161" t="s">
        <v>1524</v>
      </c>
      <c r="H161" t="s">
        <v>1527</v>
      </c>
      <c r="I161" t="s">
        <v>1009</v>
      </c>
    </row>
    <row r="162" spans="1:11" ht="72">
      <c r="A162" s="43">
        <v>133</v>
      </c>
      <c r="B162" s="51" t="s">
        <v>2422</v>
      </c>
      <c r="C162" s="51" t="s">
        <v>2423</v>
      </c>
      <c r="F162" t="s">
        <v>1010</v>
      </c>
      <c r="G162" t="s">
        <v>1524</v>
      </c>
      <c r="H162" t="s">
        <v>1514</v>
      </c>
      <c r="I162" t="s">
        <v>1009</v>
      </c>
    </row>
    <row r="163" spans="1:11" ht="84">
      <c r="A163" s="54">
        <v>134</v>
      </c>
      <c r="B163" s="55" t="s">
        <v>2424</v>
      </c>
      <c r="C163" s="55" t="s">
        <v>2425</v>
      </c>
      <c r="D163" s="56"/>
      <c r="E163" s="56"/>
      <c r="F163" s="56" t="s">
        <v>1010</v>
      </c>
      <c r="G163" s="56" t="s">
        <v>1524</v>
      </c>
      <c r="H163" s="56" t="s">
        <v>1527</v>
      </c>
      <c r="I163" s="56" t="s">
        <v>1009</v>
      </c>
      <c r="J163" s="56"/>
    </row>
    <row r="164" spans="1:11" ht="84">
      <c r="A164" s="43">
        <v>135</v>
      </c>
      <c r="B164" s="51" t="s">
        <v>2426</v>
      </c>
      <c r="C164" s="51" t="s">
        <v>2427</v>
      </c>
      <c r="F164" t="s">
        <v>1010</v>
      </c>
      <c r="G164" t="s">
        <v>1524</v>
      </c>
      <c r="H164" t="s">
        <v>1469</v>
      </c>
      <c r="I164" t="s">
        <v>1009</v>
      </c>
    </row>
    <row r="165" spans="1:11" ht="84">
      <c r="A165" s="43">
        <v>136</v>
      </c>
      <c r="B165" s="51" t="s">
        <v>2428</v>
      </c>
      <c r="C165" s="51" t="s">
        <v>2429</v>
      </c>
      <c r="F165" t="s">
        <v>1010</v>
      </c>
      <c r="G165" t="s">
        <v>1514</v>
      </c>
      <c r="H165" t="s">
        <v>1469</v>
      </c>
      <c r="I165" t="s">
        <v>1009</v>
      </c>
      <c r="K165" s="56"/>
    </row>
    <row r="166" spans="1:11" ht="72">
      <c r="A166" s="43">
        <v>137</v>
      </c>
      <c r="B166" s="51" t="s">
        <v>2430</v>
      </c>
      <c r="C166" s="51" t="s">
        <v>2431</v>
      </c>
      <c r="F166" t="s">
        <v>1010</v>
      </c>
      <c r="G166" t="s">
        <v>1514</v>
      </c>
      <c r="H166" t="s">
        <v>1469</v>
      </c>
      <c r="I166" t="s">
        <v>1009</v>
      </c>
      <c r="K166" s="56"/>
    </row>
    <row r="167" spans="1:11" ht="144">
      <c r="A167" s="43">
        <v>138</v>
      </c>
      <c r="B167" s="51" t="s">
        <v>2432</v>
      </c>
      <c r="C167" s="51" t="s">
        <v>2433</v>
      </c>
      <c r="F167" t="s">
        <v>1010</v>
      </c>
      <c r="G167" t="s">
        <v>1514</v>
      </c>
      <c r="H167" t="s">
        <v>1527</v>
      </c>
      <c r="I167" t="s">
        <v>1009</v>
      </c>
    </row>
    <row r="168" spans="1:11" ht="84">
      <c r="A168" s="43">
        <v>139</v>
      </c>
      <c r="B168" s="51" t="s">
        <v>2434</v>
      </c>
      <c r="C168" s="51" t="s">
        <v>2435</v>
      </c>
      <c r="F168" t="s">
        <v>1010</v>
      </c>
      <c r="G168" t="s">
        <v>1524</v>
      </c>
      <c r="H168" t="s">
        <v>1469</v>
      </c>
      <c r="I168" t="s">
        <v>1009</v>
      </c>
    </row>
    <row r="169" spans="1:11" ht="144">
      <c r="A169" s="43">
        <v>140</v>
      </c>
      <c r="B169" s="51" t="s">
        <v>2436</v>
      </c>
      <c r="C169" s="51" t="s">
        <v>2437</v>
      </c>
      <c r="F169" t="s">
        <v>1010</v>
      </c>
      <c r="G169" t="s">
        <v>1514</v>
      </c>
      <c r="H169" t="s">
        <v>1514</v>
      </c>
      <c r="I169" t="s">
        <v>1009</v>
      </c>
    </row>
    <row r="170" spans="1:11" ht="108">
      <c r="A170" s="43">
        <v>141</v>
      </c>
      <c r="B170" s="51" t="s">
        <v>2438</v>
      </c>
      <c r="C170" s="51" t="s">
        <v>2439</v>
      </c>
      <c r="F170" t="s">
        <v>1010</v>
      </c>
      <c r="G170" t="s">
        <v>1514</v>
      </c>
      <c r="H170" t="s">
        <v>1527</v>
      </c>
      <c r="I170" t="s">
        <v>1009</v>
      </c>
    </row>
    <row r="171" spans="1:11" ht="72">
      <c r="A171" s="43">
        <v>142</v>
      </c>
      <c r="B171" s="51" t="s">
        <v>2440</v>
      </c>
      <c r="C171" s="51" t="s">
        <v>2441</v>
      </c>
      <c r="F171" t="s">
        <v>1010</v>
      </c>
      <c r="G171" t="s">
        <v>1514</v>
      </c>
      <c r="H171" t="s">
        <v>1514</v>
      </c>
      <c r="I171" t="s">
        <v>1009</v>
      </c>
    </row>
    <row r="172" spans="1:11" ht="72">
      <c r="A172" s="43">
        <v>143</v>
      </c>
      <c r="B172" s="51" t="s">
        <v>2442</v>
      </c>
      <c r="C172" s="51" t="s">
        <v>2443</v>
      </c>
      <c r="F172" t="s">
        <v>1010</v>
      </c>
      <c r="G172" t="s">
        <v>1524</v>
      </c>
      <c r="H172" t="s">
        <v>1469</v>
      </c>
      <c r="I172" t="s">
        <v>1009</v>
      </c>
    </row>
    <row r="173" spans="1:11" ht="84">
      <c r="A173" s="43">
        <v>144</v>
      </c>
      <c r="B173" s="51" t="s">
        <v>2444</v>
      </c>
      <c r="C173" s="51" t="s">
        <v>2445</v>
      </c>
      <c r="F173" t="s">
        <v>1010</v>
      </c>
      <c r="G173" t="s">
        <v>1524</v>
      </c>
      <c r="H173" t="s">
        <v>1473</v>
      </c>
      <c r="I173" t="s">
        <v>1009</v>
      </c>
    </row>
    <row r="174" spans="1:11" ht="72">
      <c r="A174" s="43">
        <v>145</v>
      </c>
      <c r="B174" s="51" t="s">
        <v>2446</v>
      </c>
      <c r="C174" s="51" t="s">
        <v>2447</v>
      </c>
      <c r="F174" t="s">
        <v>1010</v>
      </c>
      <c r="G174" t="s">
        <v>1514</v>
      </c>
      <c r="H174" t="s">
        <v>1469</v>
      </c>
      <c r="I174" t="s">
        <v>1009</v>
      </c>
      <c r="K174" s="56"/>
    </row>
    <row r="175" spans="1:11" ht="84">
      <c r="A175" s="43">
        <v>146</v>
      </c>
      <c r="B175" s="51" t="s">
        <v>2448</v>
      </c>
      <c r="C175" s="51" t="s">
        <v>2449</v>
      </c>
      <c r="F175" t="s">
        <v>1010</v>
      </c>
      <c r="G175" t="s">
        <v>1524</v>
      </c>
      <c r="H175" t="s">
        <v>1514</v>
      </c>
      <c r="I175" t="s">
        <v>1009</v>
      </c>
    </row>
    <row r="176" spans="1:11" ht="72">
      <c r="A176" s="54">
        <v>147</v>
      </c>
      <c r="B176" s="55" t="s">
        <v>2450</v>
      </c>
      <c r="C176" s="55" t="s">
        <v>2451</v>
      </c>
      <c r="D176" s="56"/>
      <c r="E176" s="56"/>
      <c r="F176" s="56" t="s">
        <v>1010</v>
      </c>
      <c r="G176" s="56" t="s">
        <v>1524</v>
      </c>
      <c r="H176" s="56" t="s">
        <v>1469</v>
      </c>
      <c r="I176" s="56" t="s">
        <v>1009</v>
      </c>
      <c r="J176" s="56"/>
    </row>
    <row r="177" spans="1:11" ht="72">
      <c r="A177" s="43">
        <v>148</v>
      </c>
      <c r="B177" s="51" t="s">
        <v>2452</v>
      </c>
      <c r="C177" s="51" t="s">
        <v>2453</v>
      </c>
      <c r="F177" t="s">
        <v>1010</v>
      </c>
      <c r="G177" t="s">
        <v>1514</v>
      </c>
      <c r="H177" t="s">
        <v>1527</v>
      </c>
      <c r="I177" t="s">
        <v>1009</v>
      </c>
    </row>
    <row r="178" spans="1:11" ht="84">
      <c r="A178" s="43">
        <v>149</v>
      </c>
      <c r="B178" s="51" t="s">
        <v>2454</v>
      </c>
      <c r="C178" s="51" t="s">
        <v>2455</v>
      </c>
      <c r="F178" t="s">
        <v>1010</v>
      </c>
      <c r="G178" t="s">
        <v>1514</v>
      </c>
      <c r="H178" t="s">
        <v>1517</v>
      </c>
      <c r="I178" t="s">
        <v>1009</v>
      </c>
    </row>
    <row r="179" spans="1:11" ht="84">
      <c r="A179" s="43">
        <v>150</v>
      </c>
      <c r="B179" s="51" t="s">
        <v>2456</v>
      </c>
      <c r="C179" s="51" t="s">
        <v>2457</v>
      </c>
      <c r="F179" t="s">
        <v>1010</v>
      </c>
      <c r="G179" t="s">
        <v>1524</v>
      </c>
      <c r="H179" t="s">
        <v>1527</v>
      </c>
      <c r="I179" t="s">
        <v>1009</v>
      </c>
    </row>
    <row r="180" spans="1:11" ht="84">
      <c r="A180" s="43">
        <v>151</v>
      </c>
      <c r="B180" s="51" t="s">
        <v>2458</v>
      </c>
      <c r="C180" s="51" t="s">
        <v>2459</v>
      </c>
      <c r="F180" t="s">
        <v>1010</v>
      </c>
      <c r="G180" t="s">
        <v>1514</v>
      </c>
      <c r="H180" t="s">
        <v>1527</v>
      </c>
      <c r="I180" t="s">
        <v>1009</v>
      </c>
    </row>
    <row r="181" spans="1:11" ht="72">
      <c r="A181" s="43">
        <v>152</v>
      </c>
      <c r="B181" s="51" t="s">
        <v>2460</v>
      </c>
      <c r="C181" s="51" t="s">
        <v>2461</v>
      </c>
      <c r="F181" t="s">
        <v>1010</v>
      </c>
      <c r="G181" t="s">
        <v>1524</v>
      </c>
      <c r="H181" t="s">
        <v>1527</v>
      </c>
      <c r="I181" t="s">
        <v>1009</v>
      </c>
    </row>
    <row r="182" spans="1:11" ht="84">
      <c r="A182" s="43">
        <v>153</v>
      </c>
      <c r="B182" s="51" t="s">
        <v>2462</v>
      </c>
      <c r="C182" s="51" t="s">
        <v>2463</v>
      </c>
      <c r="F182" t="s">
        <v>1010</v>
      </c>
      <c r="G182" t="s">
        <v>1524</v>
      </c>
      <c r="H182" t="s">
        <v>1469</v>
      </c>
      <c r="I182" t="s">
        <v>1009</v>
      </c>
    </row>
    <row r="183" spans="1:11" ht="72">
      <c r="A183" s="43">
        <v>154</v>
      </c>
      <c r="B183" s="51" t="s">
        <v>2464</v>
      </c>
      <c r="C183" s="51" t="s">
        <v>2465</v>
      </c>
      <c r="F183" t="s">
        <v>1010</v>
      </c>
      <c r="G183" t="s">
        <v>1524</v>
      </c>
      <c r="H183" t="s">
        <v>1469</v>
      </c>
      <c r="I183" t="s">
        <v>1009</v>
      </c>
    </row>
    <row r="184" spans="1:11" ht="84">
      <c r="A184" s="43">
        <v>155</v>
      </c>
      <c r="B184" s="51" t="s">
        <v>2466</v>
      </c>
      <c r="C184" s="51" t="s">
        <v>2467</v>
      </c>
      <c r="F184" t="s">
        <v>1010</v>
      </c>
      <c r="G184" t="s">
        <v>1514</v>
      </c>
      <c r="H184" t="s">
        <v>1469</v>
      </c>
      <c r="I184" t="s">
        <v>1009</v>
      </c>
      <c r="K184" s="56"/>
    </row>
    <row r="185" spans="1:11" ht="72">
      <c r="A185" s="43">
        <v>156</v>
      </c>
      <c r="B185" s="51" t="s">
        <v>2468</v>
      </c>
      <c r="C185" s="51" t="s">
        <v>2469</v>
      </c>
      <c r="F185" t="s">
        <v>1010</v>
      </c>
      <c r="G185" t="s">
        <v>1524</v>
      </c>
      <c r="H185" t="s">
        <v>1527</v>
      </c>
      <c r="I185" t="s">
        <v>1009</v>
      </c>
    </row>
    <row r="186" spans="1:11" ht="72">
      <c r="A186" s="43">
        <v>157</v>
      </c>
      <c r="B186" s="51" t="s">
        <v>2470</v>
      </c>
      <c r="C186" s="51" t="s">
        <v>2471</v>
      </c>
      <c r="F186" t="s">
        <v>1010</v>
      </c>
      <c r="G186" t="s">
        <v>1524</v>
      </c>
      <c r="H186" t="s">
        <v>1469</v>
      </c>
      <c r="I186" t="s">
        <v>1009</v>
      </c>
    </row>
    <row r="187" spans="1:11" ht="96">
      <c r="A187" s="43">
        <v>158</v>
      </c>
      <c r="B187" s="51" t="s">
        <v>2472</v>
      </c>
      <c r="C187" s="51" t="s">
        <v>2473</v>
      </c>
      <c r="F187" t="s">
        <v>1010</v>
      </c>
      <c r="G187" t="s">
        <v>1514</v>
      </c>
      <c r="H187" t="s">
        <v>1469</v>
      </c>
      <c r="I187" t="s">
        <v>1009</v>
      </c>
    </row>
    <row r="188" spans="1:11" ht="108">
      <c r="A188" s="43">
        <v>159</v>
      </c>
      <c r="B188" s="51" t="s">
        <v>2474</v>
      </c>
      <c r="C188" s="51" t="s">
        <v>2475</v>
      </c>
      <c r="F188" t="s">
        <v>1010</v>
      </c>
      <c r="G188" t="s">
        <v>1524</v>
      </c>
      <c r="H188" t="s">
        <v>1527</v>
      </c>
      <c r="I188" t="s">
        <v>1009</v>
      </c>
    </row>
    <row r="189" spans="1:11" ht="132">
      <c r="A189" s="43">
        <v>160</v>
      </c>
      <c r="B189" s="51" t="s">
        <v>2476</v>
      </c>
      <c r="C189" s="51" t="s">
        <v>2477</v>
      </c>
      <c r="F189" t="s">
        <v>1010</v>
      </c>
      <c r="G189" t="s">
        <v>1514</v>
      </c>
      <c r="H189" t="s">
        <v>1469</v>
      </c>
      <c r="I189" t="s">
        <v>1009</v>
      </c>
    </row>
    <row r="190" spans="1:11" ht="84">
      <c r="A190" s="43">
        <v>161</v>
      </c>
      <c r="B190" s="51" t="s">
        <v>2478</v>
      </c>
      <c r="C190" s="51" t="s">
        <v>2479</v>
      </c>
      <c r="F190" t="s">
        <v>1010</v>
      </c>
      <c r="G190" t="s">
        <v>1514</v>
      </c>
      <c r="H190" t="s">
        <v>1527</v>
      </c>
      <c r="I190" t="s">
        <v>1009</v>
      </c>
    </row>
    <row r="191" spans="1:11" ht="84">
      <c r="A191" s="43">
        <v>162</v>
      </c>
      <c r="B191" s="51" t="s">
        <v>2480</v>
      </c>
      <c r="C191" s="51" t="s">
        <v>2481</v>
      </c>
      <c r="F191" t="s">
        <v>1010</v>
      </c>
      <c r="G191" t="s">
        <v>1514</v>
      </c>
      <c r="H191" t="s">
        <v>1469</v>
      </c>
      <c r="I191" t="s">
        <v>1009</v>
      </c>
    </row>
    <row r="192" spans="1:11" ht="84">
      <c r="A192" s="43">
        <v>163</v>
      </c>
      <c r="B192" s="51" t="s">
        <v>2482</v>
      </c>
      <c r="C192" s="51" t="s">
        <v>2483</v>
      </c>
      <c r="F192" t="s">
        <v>1010</v>
      </c>
      <c r="G192" t="s">
        <v>1524</v>
      </c>
      <c r="H192" t="s">
        <v>1469</v>
      </c>
      <c r="I192" t="s">
        <v>1009</v>
      </c>
    </row>
    <row r="193" spans="1:11" ht="84">
      <c r="A193" s="43">
        <v>164</v>
      </c>
      <c r="B193" s="51" t="s">
        <v>2484</v>
      </c>
      <c r="C193" s="51" t="s">
        <v>2485</v>
      </c>
      <c r="F193" t="s">
        <v>1010</v>
      </c>
      <c r="G193" t="s">
        <v>1514</v>
      </c>
      <c r="H193" t="s">
        <v>1469</v>
      </c>
      <c r="I193" t="s">
        <v>1009</v>
      </c>
    </row>
    <row r="194" spans="1:11" ht="84">
      <c r="A194" s="43">
        <v>165</v>
      </c>
      <c r="B194" s="51" t="s">
        <v>2486</v>
      </c>
      <c r="C194" s="51" t="s">
        <v>2487</v>
      </c>
      <c r="F194" t="s">
        <v>1010</v>
      </c>
      <c r="G194" t="s">
        <v>1514</v>
      </c>
      <c r="H194" t="s">
        <v>1469</v>
      </c>
      <c r="I194" t="s">
        <v>1009</v>
      </c>
    </row>
    <row r="195" spans="1:11" ht="84">
      <c r="A195" s="43">
        <v>166</v>
      </c>
      <c r="B195" s="51" t="s">
        <v>2488</v>
      </c>
      <c r="C195" s="51" t="s">
        <v>2489</v>
      </c>
      <c r="F195" t="s">
        <v>1010</v>
      </c>
      <c r="G195" t="s">
        <v>1524</v>
      </c>
      <c r="H195" t="s">
        <v>1469</v>
      </c>
      <c r="I195" t="s">
        <v>1009</v>
      </c>
    </row>
    <row r="196" spans="1:11" ht="96">
      <c r="A196" s="43">
        <v>167</v>
      </c>
      <c r="B196" s="51" t="s">
        <v>2490</v>
      </c>
      <c r="C196" s="51" t="s">
        <v>2491</v>
      </c>
      <c r="F196" t="s">
        <v>1010</v>
      </c>
      <c r="G196" t="s">
        <v>1514</v>
      </c>
      <c r="H196" t="s">
        <v>1469</v>
      </c>
      <c r="I196" t="s">
        <v>1009</v>
      </c>
    </row>
    <row r="197" spans="1:11" ht="108">
      <c r="A197" s="43">
        <v>168</v>
      </c>
      <c r="B197" s="51" t="s">
        <v>2492</v>
      </c>
      <c r="C197" s="51" t="s">
        <v>2493</v>
      </c>
      <c r="F197" t="s">
        <v>1010</v>
      </c>
      <c r="G197" t="s">
        <v>1514</v>
      </c>
      <c r="H197" t="s">
        <v>1517</v>
      </c>
      <c r="I197" t="s">
        <v>1009</v>
      </c>
    </row>
    <row r="198" spans="1:11" ht="96">
      <c r="A198" s="43">
        <v>169</v>
      </c>
      <c r="B198" s="51" t="s">
        <v>2494</v>
      </c>
      <c r="C198" s="51" t="s">
        <v>2495</v>
      </c>
      <c r="F198" t="s">
        <v>1010</v>
      </c>
      <c r="G198" t="s">
        <v>1524</v>
      </c>
      <c r="H198" t="s">
        <v>1469</v>
      </c>
      <c r="I198" t="s">
        <v>1009</v>
      </c>
    </row>
    <row r="199" spans="1:11" ht="96">
      <c r="A199" s="43">
        <v>170</v>
      </c>
      <c r="B199" s="51" t="s">
        <v>2496</v>
      </c>
      <c r="C199" s="51" t="s">
        <v>2497</v>
      </c>
      <c r="F199" t="s">
        <v>1010</v>
      </c>
      <c r="G199" t="s">
        <v>1514</v>
      </c>
      <c r="H199" t="s">
        <v>1469</v>
      </c>
      <c r="I199" t="s">
        <v>1009</v>
      </c>
    </row>
    <row r="200" spans="1:11" ht="72">
      <c r="A200" s="43">
        <v>171</v>
      </c>
      <c r="B200" s="51" t="s">
        <v>2450</v>
      </c>
      <c r="C200" s="51" t="s">
        <v>2498</v>
      </c>
      <c r="F200" t="s">
        <v>1010</v>
      </c>
      <c r="G200" t="s">
        <v>1514</v>
      </c>
      <c r="H200" t="s">
        <v>1469</v>
      </c>
      <c r="I200" t="s">
        <v>1009</v>
      </c>
    </row>
    <row r="201" spans="1:11" ht="72">
      <c r="A201" s="43">
        <v>173</v>
      </c>
      <c r="B201" s="51" t="s">
        <v>2499</v>
      </c>
      <c r="C201" s="51" t="s">
        <v>2500</v>
      </c>
      <c r="F201" t="s">
        <v>1010</v>
      </c>
      <c r="G201" t="s">
        <v>1524</v>
      </c>
      <c r="H201" t="s">
        <v>1469</v>
      </c>
      <c r="I201" t="s">
        <v>1009</v>
      </c>
    </row>
    <row r="202" spans="1:11" ht="84">
      <c r="A202" s="43">
        <v>174</v>
      </c>
      <c r="B202" s="51" t="s">
        <v>2501</v>
      </c>
      <c r="C202" s="51" t="s">
        <v>2502</v>
      </c>
      <c r="F202" t="s">
        <v>1010</v>
      </c>
      <c r="G202" t="s">
        <v>1524</v>
      </c>
      <c r="H202" t="s">
        <v>1514</v>
      </c>
      <c r="I202" t="s">
        <v>1009</v>
      </c>
      <c r="K202" s="56"/>
    </row>
    <row r="203" spans="1:11" ht="96">
      <c r="A203" s="43">
        <v>175</v>
      </c>
      <c r="B203" s="51" t="s">
        <v>2503</v>
      </c>
      <c r="C203" s="51" t="s">
        <v>2504</v>
      </c>
      <c r="F203" t="s">
        <v>1010</v>
      </c>
      <c r="G203" t="s">
        <v>1524</v>
      </c>
      <c r="H203" t="s">
        <v>1469</v>
      </c>
      <c r="I203" t="s">
        <v>1009</v>
      </c>
    </row>
    <row r="204" spans="1:11">
      <c r="E204" s="42" t="s">
        <v>95</v>
      </c>
      <c r="F204" s="42">
        <f>COUNTA(F94:F203)</f>
        <v>110</v>
      </c>
    </row>
  </sheetData>
  <hyperlinks>
    <hyperlink ref="A94" r:id="rId1" display="http://www.westlaw.com/Find/Default.wl?rs=dfa1.0&amp;vr=2.0&amp;DB=780&amp;FindType=Y&amp;SerialNum=2012538428"/>
    <hyperlink ref="A95" r:id="rId2" display="http://www.westlaw.com/Find/Default.wl?rs=dfa1.0&amp;vr=2.0&amp;DB=780&amp;FindType=Y&amp;SerialNum=2012518408"/>
    <hyperlink ref="A96" r:id="rId3" display="http://www.westlaw.com/Find/Default.wl?rs=dfa1.0&amp;vr=2.0&amp;DB=780&amp;FindType=Y&amp;SerialNum=2012126123"/>
    <hyperlink ref="A97" r:id="rId4" display="http://www.westlaw.com/Find/Default.wl?rs=dfa1.0&amp;vr=2.0&amp;DB=780&amp;FindType=Y&amp;SerialNum=2011784747"/>
    <hyperlink ref="A98" r:id="rId5" display="http://www.westlaw.com/Find/Default.wl?rs=dfa1.0&amp;vr=2.0&amp;DB=506&amp;FindType=Y&amp;SerialNum=2013195794"/>
    <hyperlink ref="A99" r:id="rId6" display="http://www.westlaw.com/Find/Default.wl?rs=dfa1.0&amp;vr=2.0&amp;DB=506&amp;FindType=Y&amp;SerialNum=2022683646"/>
    <hyperlink ref="A100" r:id="rId7" display="http://www.westlaw.com/Find/Default.wl?rs=dfa1.0&amp;vr=2.0&amp;DB=506&amp;FindType=Y&amp;SerialNum=2013180981"/>
    <hyperlink ref="A101" r:id="rId8" display="http://www.westlaw.com/Find/Default.wl?rs=dfa1.0&amp;vr=2.0&amp;DB=506&amp;FindType=Y&amp;SerialNum=2013115666"/>
    <hyperlink ref="A102" r:id="rId9" display="http://www.westlaw.com/Find/Default.wl?rs=dfa1.0&amp;vr=2.0&amp;DB=506&amp;FindType=Y&amp;SerialNum=2013108352"/>
    <hyperlink ref="A103" r:id="rId10" display="http://www.westlaw.com/Find/Default.wl?rs=dfa1.0&amp;vr=2.0&amp;DB=506&amp;FindType=Y&amp;SerialNum=2015081452"/>
    <hyperlink ref="A104" r:id="rId11" display="http://www.westlaw.com/Find/Default.wl?rs=dfa1.0&amp;vr=2.0&amp;DB=506&amp;FindType=Y&amp;SerialNum=2012863952"/>
    <hyperlink ref="A105" r:id="rId12" display="http://www.westlaw.com/Find/Default.wl?rs=dfa1.0&amp;vr=2.0&amp;DB=506&amp;FindType=Y&amp;SerialNum=2012853233"/>
    <hyperlink ref="A106" r:id="rId13" display="http://www.westlaw.com/Find/Default.wl?rs=dfa1.0&amp;vr=2.0&amp;DB=506&amp;FindType=Y&amp;SerialNum=2012846509"/>
    <hyperlink ref="A107" r:id="rId14" display="http://www.westlaw.com/Find/Default.wl?rs=dfa1.0&amp;vr=2.0&amp;DB=506&amp;FindType=Y&amp;SerialNum=2012793883"/>
    <hyperlink ref="A108" r:id="rId15" display="http://www.westlaw.com/Find/Default.wl?rs=dfa1.0&amp;vr=2.0&amp;DB=506&amp;FindType=Y&amp;SerialNum=2012793895"/>
    <hyperlink ref="A109" r:id="rId16" display="http://www.westlaw.com/Find/Default.wl?rs=dfa1.0&amp;vr=2.0&amp;DB=506&amp;FindType=Y&amp;SerialNum=2012774167"/>
    <hyperlink ref="A110" r:id="rId17" display="http://www.westlaw.com/Find/Default.wl?rs=dfa1.0&amp;vr=2.0&amp;DB=506&amp;FindType=Y&amp;SerialNum=2012760776"/>
    <hyperlink ref="A111" r:id="rId18" display="http://www.westlaw.com/Find/Default.wl?rs=dfa1.0&amp;vr=2.0&amp;DB=506&amp;FindType=Y&amp;SerialNum=2012762873"/>
    <hyperlink ref="A112" r:id="rId19" display="http://www.westlaw.com/Find/Default.wl?rs=dfa1.0&amp;vr=2.0&amp;DB=506&amp;FindType=Y&amp;SerialNum=2012713652"/>
    <hyperlink ref="A113" r:id="rId20" display="http://www.westlaw.com/Find/Default.wl?rs=dfa1.0&amp;vr=2.0&amp;DB=506&amp;FindType=Y&amp;SerialNum=2012627209"/>
    <hyperlink ref="A114" r:id="rId21" display="http://www.westlaw.com/Find/Default.wl?rs=dfa1.0&amp;vr=2.0&amp;DB=506&amp;FindType=Y&amp;SerialNum=2012627815"/>
    <hyperlink ref="A115" r:id="rId22" display="http://www.westlaw.com/Find/Default.wl?rs=dfa1.0&amp;vr=2.0&amp;DB=506&amp;FindType=Y&amp;SerialNum=2012545384"/>
    <hyperlink ref="A116" r:id="rId23" display="http://www.westlaw.com/Find/Default.wl?rs=dfa1.0&amp;vr=2.0&amp;DB=506&amp;FindType=Y&amp;SerialNum=2012512352"/>
    <hyperlink ref="A117" r:id="rId24" display="http://www.westlaw.com/Find/Default.wl?rs=dfa1.0&amp;vr=2.0&amp;DB=6538&amp;FindType=Y&amp;SerialNum=2012443547"/>
    <hyperlink ref="A118" r:id="rId25" display="http://www.westlaw.com/Find/Default.wl?rs=dfa1.0&amp;vr=2.0&amp;DB=506&amp;FindType=Y&amp;SerialNum=2012406832"/>
    <hyperlink ref="A119" r:id="rId26" display="http://www.westlaw.com/Find/Default.wl?rs=dfa1.0&amp;vr=2.0&amp;DB=506&amp;FindType=Y&amp;SerialNum=2012342246"/>
    <hyperlink ref="A120" r:id="rId27" display="http://www.westlaw.com/Find/Default.wl?rs=dfa1.0&amp;vr=2.0&amp;DB=506&amp;FindType=Y&amp;SerialNum=2012302344"/>
    <hyperlink ref="A121" r:id="rId28" display="http://www.westlaw.com/Find/Default.wl?rs=dfa1.0&amp;vr=2.0&amp;DB=506&amp;FindType=Y&amp;SerialNum=2012203534"/>
    <hyperlink ref="A122" r:id="rId29" display="http://www.westlaw.com/Find/Default.wl?rs=dfa1.0&amp;vr=2.0&amp;DB=506&amp;FindType=Y&amp;SerialNum=2012088650"/>
    <hyperlink ref="A123" r:id="rId30" display="http://www.westlaw.com/Find/Default.wl?rs=dfa1.0&amp;vr=2.0&amp;DB=506&amp;FindType=Y&amp;SerialNum=2011928902"/>
    <hyperlink ref="A124" r:id="rId31" display="http://www.westlaw.com/Find/Default.wl?rs=dfa1.0&amp;vr=2.0&amp;DB=506&amp;FindType=Y&amp;SerialNum=2011669814"/>
    <hyperlink ref="A125" r:id="rId32" display="http://www.westlaw.com/Find/Default.wl?rs=dfa1.0&amp;vr=2.0&amp;DB=506&amp;FindType=Y&amp;SerialNum=2011501620"/>
    <hyperlink ref="A126" r:id="rId33" display="http://www.westlaw.com/Find/Default.wl?rs=dfa1.0&amp;vr=2.0&amp;DB=506&amp;FindType=Y&amp;SerialNum=2011455706"/>
    <hyperlink ref="A127" r:id="rId34" display="http://www.westlaw.com/Find/Default.wl?rs=dfa1.0&amp;vr=2.0&amp;DB=506&amp;FindType=Y&amp;SerialNum=2011220046"/>
    <hyperlink ref="A128" r:id="rId35" display="http://www.westlaw.com/Find/Default.wl?rs=dfa1.0&amp;vr=2.0&amp;DB=506&amp;FindType=Y&amp;SerialNum=2011133892"/>
    <hyperlink ref="A129" r:id="rId36" display="http://www.westlaw.com/Find/Default.wl?rs=dfa1.0&amp;vr=2.0&amp;DB=506&amp;FindType=Y&amp;SerialNum=2010750889"/>
    <hyperlink ref="A130" r:id="rId37" display="http://www.westlaw.com/Find/Default.wl?rs=dfa1.0&amp;vr=2.0&amp;DB=506&amp;FindType=Y&amp;SerialNum=2010728495"/>
    <hyperlink ref="A131" r:id="rId38" display="http://www.westlaw.com/Find/Default.wl?rs=dfa1.0&amp;vr=2.0&amp;DB=506&amp;FindType=Y&amp;SerialNum=2010705679"/>
    <hyperlink ref="A132" r:id="rId39" display="http://www.westlaw.com/Find/Default.wl?rs=dfa1.0&amp;vr=2.0&amp;DB=506&amp;FindType=Y&amp;SerialNum=2010694499"/>
    <hyperlink ref="A133" r:id="rId40" display="http://www.westlaw.com/Find/Default.wl?rs=dfa1.0&amp;vr=2.0&amp;DB=506&amp;FindType=Y&amp;SerialNum=2010555722"/>
    <hyperlink ref="A134" r:id="rId41" display="http://www.westlaw.com/Find/Default.wl?rs=dfa1.0&amp;vr=2.0&amp;DB=6538&amp;FindType=Y&amp;SerialNum=2010491788"/>
    <hyperlink ref="A135" r:id="rId42" display="http://www.westlaw.com/Find/Default.wl?rs=dfa1.0&amp;vr=2.0&amp;FindType=Y&amp;SerialNum=2013445888"/>
    <hyperlink ref="A136" r:id="rId43" display="http://www.westlaw.com/Find/Default.wl?rs=dfa1.0&amp;vr=2.0&amp;DB=4637&amp;FindType=Y&amp;SerialNum=2023085224"/>
    <hyperlink ref="A137" r:id="rId44" display="http://www.westlaw.com/Find/Default.wl?rs=dfa1.0&amp;vr=2.0&amp;FindType=Y&amp;SerialNum=2013231098"/>
    <hyperlink ref="A138" r:id="rId45" display="http://www.westlaw.com/Find/Default.wl?rs=dfa1.0&amp;vr=2.0&amp;FindType=Y&amp;SerialNum=2013253213"/>
    <hyperlink ref="A139" r:id="rId46" display="http://www.westlaw.com/Find/Default.wl?rs=dfa1.0&amp;vr=2.0&amp;DB=4637&amp;FindType=Y&amp;SerialNum=2013221076"/>
    <hyperlink ref="A140" r:id="rId47" display="http://www.westlaw.com/Find/Default.wl?rs=dfa1.0&amp;vr=2.0&amp;DB=4637&amp;FindType=Y&amp;SerialNum=2013195331"/>
    <hyperlink ref="A141" r:id="rId48" display="http://www.westlaw.com/Find/Default.wl?rs=dfa1.0&amp;vr=2.0&amp;DB=4637&amp;FindType=Y&amp;SerialNum=2013155471"/>
    <hyperlink ref="A142" r:id="rId49" display="http://www.westlaw.com/Find/Default.wl?rs=dfa1.0&amp;vr=2.0&amp;FindType=Y&amp;SerialNum=2013181389"/>
    <hyperlink ref="A143" r:id="rId50" display="http://www.westlaw.com/Find/Default.wl?rs=dfa1.0&amp;vr=2.0&amp;FindType=Y&amp;SerialNum=2013195312"/>
    <hyperlink ref="A144" r:id="rId51" display="http://www.westlaw.com/Find/Default.wl?rs=dfa1.0&amp;vr=2.0&amp;FindType=Y&amp;SerialNum=2013143959"/>
    <hyperlink ref="A145" r:id="rId52" display="http://www.westlaw.com/Find/Default.wl?rs=dfa1.0&amp;vr=2.0&amp;FindType=Y&amp;SerialNum=2013132097"/>
    <hyperlink ref="A146" r:id="rId53" display="http://www.westlaw.com/Find/Default.wl?rs=dfa1.0&amp;vr=2.0&amp;DB=4637&amp;FindType=Y&amp;SerialNum=2012960408"/>
    <hyperlink ref="A147" r:id="rId54" display="http://www.westlaw.com/Find/Default.wl?rs=dfa1.0&amp;vr=2.0&amp;FindType=Y&amp;SerialNum=2012987644"/>
    <hyperlink ref="A148" r:id="rId55" display="http://www.westlaw.com/Find/Default.wl?rs=dfa1.0&amp;vr=2.0&amp;DB=4637&amp;FindType=Y&amp;SerialNum=2012718753"/>
    <hyperlink ref="A149" r:id="rId56" display="http://www.westlaw.com/Find/Default.wl?rs=dfa1.0&amp;vr=2.0&amp;DB=4637&amp;FindType=Y&amp;SerialNum=2012707071"/>
    <hyperlink ref="A150" r:id="rId57" display="http://www.westlaw.com/Find/Default.wl?rs=dfa1.0&amp;vr=2.0&amp;FindType=Y&amp;SerialNum=2012643804"/>
    <hyperlink ref="A151" r:id="rId58" display="http://www.westlaw.com/Find/Default.wl?rs=dfa1.0&amp;vr=2.0&amp;FindType=Y&amp;SerialNum=2012554244"/>
    <hyperlink ref="A152" r:id="rId59" display="http://www.westlaw.com/Find/Default.wl?rs=dfa1.0&amp;vr=2.0&amp;DB=1538&amp;FindType=Y&amp;SerialNum=2012562481"/>
    <hyperlink ref="A153" r:id="rId60" display="http://www.westlaw.com/Find/Default.wl?rs=dfa1.0&amp;vr=2.0&amp;DB=1538&amp;FindType=Y&amp;SerialNum=2012475852"/>
    <hyperlink ref="A154" r:id="rId61" display="http://www.westlaw.com/Find/Default.wl?rs=dfa1.0&amp;vr=2.0&amp;DB=4637&amp;FindType=Y&amp;SerialNum=2012469580"/>
    <hyperlink ref="A155" r:id="rId62" display="http://www.westlaw.com/Find/Default.wl?rs=dfa1.0&amp;vr=2.0&amp;DB=4637&amp;FindType=Y&amp;SerialNum=2012411531"/>
    <hyperlink ref="A156" r:id="rId63" display="http://www.westlaw.com/Find/Default.wl?rs=dfa1.0&amp;vr=2.0&amp;FindType=Y&amp;SerialNum=2012445742"/>
    <hyperlink ref="A157" r:id="rId64" display="http://www.westlaw.com/Find/Default.wl?rs=dfa1.0&amp;vr=2.0&amp;DB=4637&amp;FindType=Y&amp;SerialNum=2012411759"/>
    <hyperlink ref="A158" r:id="rId65" display="http://www.westlaw.com/Find/Default.wl?rs=dfa1.0&amp;vr=2.0&amp;DB=863&amp;FindType=Y&amp;SerialNum=2012408787"/>
    <hyperlink ref="A159" r:id="rId66" display="http://www.westlaw.com/Find/Default.wl?rs=dfa1.0&amp;vr=2.0&amp;FindType=Y&amp;SerialNum=2012399869"/>
    <hyperlink ref="A160" r:id="rId67" display="http://www.westlaw.com/Find/Default.wl?rs=dfa1.0&amp;vr=2.0&amp;FindType=Y&amp;SerialNum=2012389041"/>
    <hyperlink ref="A161" r:id="rId68" display="http://www.westlaw.com/Find/Default.wl?rs=dfa1.0&amp;vr=2.0&amp;FindType=Y&amp;SerialNum=2012270565"/>
    <hyperlink ref="A162" r:id="rId69" display="http://www.westlaw.com/Find/Default.wl?rs=dfa1.0&amp;vr=2.0&amp;DB=4637&amp;FindType=Y&amp;SerialNum=2012288744"/>
    <hyperlink ref="A163" r:id="rId70" display="http://www.westlaw.com/Find/Default.wl?rs=dfa1.0&amp;vr=2.0&amp;FindType=Y&amp;SerialNum=2012250120"/>
    <hyperlink ref="A164" r:id="rId71" display="http://www.westlaw.com/Find/Default.wl?rs=dfa1.0&amp;vr=2.0&amp;FindType=Y&amp;SerialNum=2012277464"/>
    <hyperlink ref="A165" r:id="rId72" display="http://www.westlaw.com/Find/Default.wl?rs=dfa1.0&amp;vr=2.0&amp;DB=4311&amp;FindType=Y&amp;SerialNum=2012270257"/>
    <hyperlink ref="A166" r:id="rId73" display="http://www.westlaw.com/Find/Default.wl?rs=dfa1.0&amp;vr=2.0&amp;FindType=Y&amp;SerialNum=2012214847"/>
    <hyperlink ref="A167" r:id="rId74" display="http://www.westlaw.com/Find/Default.wl?rs=dfa1.0&amp;vr=2.0&amp;DB=164&amp;FindType=Y&amp;SerialNum=2012171335"/>
    <hyperlink ref="A168" r:id="rId75" display="http://www.westlaw.com/Find/Default.wl?rs=dfa1.0&amp;vr=2.0&amp;FindType=Y&amp;SerialNum=2012159376"/>
    <hyperlink ref="A169" r:id="rId76" display="http://www.westlaw.com/Find/Default.wl?rs=dfa1.0&amp;vr=2.0&amp;DB=4637&amp;FindType=Y&amp;SerialNum=2012129869"/>
    <hyperlink ref="A170" r:id="rId77" display="http://www.westlaw.com/Find/Default.wl?rs=dfa1.0&amp;vr=2.0&amp;DB=4145&amp;FindType=Y&amp;SerialNum=2012103825"/>
    <hyperlink ref="A171" r:id="rId78" display="http://www.westlaw.com/Find/Default.wl?rs=dfa1.0&amp;vr=2.0&amp;FindType=Y&amp;SerialNum=2011877020"/>
    <hyperlink ref="A172" r:id="rId79" display="http://www.westlaw.com/Find/Default.wl?rs=dfa1.0&amp;vr=2.0&amp;DB=4637&amp;FindType=Y&amp;SerialNum=2011889247"/>
    <hyperlink ref="A173" r:id="rId80" display="http://www.westlaw.com/Find/Default.wl?rs=dfa1.0&amp;vr=2.0&amp;DB=4637&amp;FindType=Y&amp;SerialNum=2011892991"/>
    <hyperlink ref="A174" r:id="rId81" display="http://www.westlaw.com/Find/Default.wl?rs=dfa1.0&amp;vr=2.0&amp;DB=4637&amp;FindType=Y&amp;SerialNum=2011825943"/>
    <hyperlink ref="A175" r:id="rId82" display="http://www.westlaw.com/Find/Default.wl?rs=dfa1.0&amp;vr=2.0&amp;DB=4637&amp;FindType=Y&amp;SerialNum=2011827520"/>
    <hyperlink ref="A176" r:id="rId83" display="http://www.westlaw.com/Find/Default.wl?rs=dfa1.0&amp;vr=2.0&amp;FindType=Y&amp;SerialNum=2011813659"/>
    <hyperlink ref="A177" r:id="rId84" display="http://www.westlaw.com/Find/Default.wl?rs=dfa1.0&amp;vr=2.0&amp;FindType=Y&amp;SerialNum=2011714477"/>
    <hyperlink ref="A178" r:id="rId85" display="http://www.westlaw.com/Find/Default.wl?rs=dfa1.0&amp;vr=2.0&amp;FindType=Y&amp;SerialNum=2011648716"/>
    <hyperlink ref="A179" r:id="rId86" display="http://www.westlaw.com/Find/Default.wl?rs=dfa1.0&amp;vr=2.0&amp;FindType=Y&amp;SerialNum=2011650240"/>
    <hyperlink ref="A180" r:id="rId87" display="http://www.westlaw.com/Find/Default.wl?rs=dfa1.0&amp;vr=2.0&amp;DB=4637&amp;FindType=Y&amp;SerialNum=2011629225"/>
    <hyperlink ref="A181" r:id="rId88" display="http://www.westlaw.com/Find/Default.wl?rs=dfa1.0&amp;vr=2.0&amp;DB=4637&amp;FindType=Y&amp;SerialNum=2012171350"/>
    <hyperlink ref="A182" r:id="rId89" display="http://www.westlaw.com/Find/Default.wl?rs=dfa1.0&amp;vr=2.0&amp;DB=4637&amp;FindType=Y&amp;SerialNum=2011590959"/>
    <hyperlink ref="A183" r:id="rId90" display="http://www.westlaw.com/Find/Default.wl?rs=dfa1.0&amp;vr=2.0&amp;FindType=Y&amp;SerialNum=2011601843"/>
    <hyperlink ref="A184" r:id="rId91" display="http://www.westlaw.com/Find/Default.wl?rs=dfa1.0&amp;vr=2.0&amp;FindType=Y&amp;SerialNum=2011509474"/>
    <hyperlink ref="A185" r:id="rId92" display="http://www.westlaw.com/Find/Default.wl?rs=dfa1.0&amp;vr=2.0&amp;DB=4637&amp;FindType=Y&amp;SerialNum=2011604717"/>
    <hyperlink ref="A186" r:id="rId93" display="http://www.westlaw.com/Find/Default.wl?rs=dfa1.0&amp;vr=2.0&amp;DB=4637&amp;FindType=Y&amp;SerialNum=2011480093"/>
    <hyperlink ref="A187" r:id="rId94" display="http://www.westlaw.com/Find/Default.wl?rs=dfa1.0&amp;vr=2.0&amp;DB=4637&amp;FindType=Y&amp;SerialNum=2011391058"/>
    <hyperlink ref="A188" r:id="rId95" display="http://www.westlaw.com/Find/Default.wl?rs=dfa1.0&amp;vr=2.0&amp;DB=4637&amp;FindType=Y&amp;SerialNum=2011456109"/>
    <hyperlink ref="A189" r:id="rId96" display="http://www.westlaw.com/Find/Default.wl?rs=dfa1.0&amp;vr=2.0&amp;DB=164&amp;FindType=Y&amp;SerialNum=2011372129"/>
    <hyperlink ref="A190" r:id="rId97" display="http://www.westlaw.com/Find/Default.wl?rs=dfa1.0&amp;vr=2.0&amp;DB=4637&amp;FindType=Y&amp;SerialNum=2011390599"/>
    <hyperlink ref="A191" r:id="rId98" display="http://www.westlaw.com/Find/Default.wl?rs=dfa1.0&amp;vr=2.0&amp;DB=4311&amp;FindType=Y&amp;SerialNum=2011324158"/>
    <hyperlink ref="A192" r:id="rId99" display="http://www.westlaw.com/Find/Default.wl?rs=dfa1.0&amp;vr=2.0&amp;FindType=Y&amp;SerialNum=2011324847"/>
    <hyperlink ref="A193" r:id="rId100" display="http://www.westlaw.com/Find/Default.wl?rs=dfa1.0&amp;vr=2.0&amp;FindType=Y&amp;SerialNum=2011339793"/>
    <hyperlink ref="A194" r:id="rId101" display="http://www.westlaw.com/Find/Default.wl?rs=dfa1.0&amp;vr=2.0&amp;FindType=Y&amp;SerialNum=2011281186"/>
    <hyperlink ref="A195" r:id="rId102" display="http://www.westlaw.com/Find/Default.wl?rs=dfa1.0&amp;vr=2.0&amp;FindType=Y&amp;SerialNum=2011127724"/>
    <hyperlink ref="A196" r:id="rId103" display="http://www.westlaw.com/Find/Default.wl?rs=dfa1.0&amp;vr=2.0&amp;DB=4637&amp;FindType=Y&amp;SerialNum=2010939948"/>
    <hyperlink ref="A197" r:id="rId104" display="http://www.westlaw.com/Find/Default.wl?rs=dfa1.0&amp;vr=2.0&amp;DB=164&amp;FindType=Y&amp;SerialNum=2010894255"/>
    <hyperlink ref="A198" r:id="rId105" display="http://www.westlaw.com/Find/Default.wl?rs=dfa1.0&amp;vr=2.0&amp;DB=4637&amp;FindType=Y&amp;SerialNum=2010706566"/>
    <hyperlink ref="A199" r:id="rId106" display="http://www.westlaw.com/Find/Default.wl?rs=dfa1.0&amp;vr=2.0&amp;FindType=Y&amp;SerialNum=2010668146"/>
    <hyperlink ref="A200" r:id="rId107" display="http://www.westlaw.com/Find/Default.wl?rs=dfa1.0&amp;vr=2.0&amp;DB=4637&amp;FindType=Y&amp;SerialNum=2010660927"/>
    <hyperlink ref="A201" r:id="rId108" display="http://www.westlaw.com/Find/Default.wl?rs=dfa1.0&amp;vr=2.0&amp;FindType=Y&amp;SerialNum=2011386977"/>
    <hyperlink ref="A202" r:id="rId109" display="http://www.westlaw.com/Find/Default.wl?rs=dfa1.0&amp;vr=2.0&amp;DB=4637&amp;FindType=Y&amp;SerialNum=2010469500"/>
    <hyperlink ref="A203" r:id="rId110" display="http://www.westlaw.com/Find/Default.wl?rs=dfa1.0&amp;vr=2.0&amp;DB=4637&amp;FindType=Y&amp;SerialNum=2010490470"/>
  </hyperlink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7"/>
  <sheetViews>
    <sheetView zoomScale="55" zoomScaleNormal="55" zoomScalePageLayoutView="55" workbookViewId="0"/>
  </sheetViews>
  <sheetFormatPr baseColWidth="10" defaultColWidth="8.83203125" defaultRowHeight="14" x14ac:dyDescent="0"/>
  <cols>
    <col min="1" max="1" width="14.5" bestFit="1" customWidth="1"/>
    <col min="2" max="2" width="44.5" customWidth="1"/>
    <col min="3" max="3" width="13" customWidth="1"/>
    <col min="4" max="4" width="15" customWidth="1"/>
    <col min="5" max="5" width="18" customWidth="1"/>
    <col min="6" max="6" width="21" customWidth="1"/>
    <col min="7" max="7" width="12.5" customWidth="1"/>
    <col min="8" max="8" width="13.5" bestFit="1" customWidth="1"/>
    <col min="9" max="9" width="9" customWidth="1"/>
    <col min="10" max="10" width="10" customWidth="1"/>
    <col min="11" max="11" width="35.83203125" customWidth="1"/>
    <col min="12" max="12" width="13" customWidth="1"/>
    <col min="13" max="14" width="10" customWidth="1"/>
    <col min="15" max="15" width="14" customWidth="1"/>
    <col min="16" max="16" width="12" customWidth="1"/>
    <col min="17" max="17" width="34.5" bestFit="1" customWidth="1"/>
    <col min="18" max="18" width="32" customWidth="1"/>
    <col min="19" max="19" width="10" customWidth="1"/>
  </cols>
  <sheetData>
    <row r="1" spans="1:21" ht="37">
      <c r="A1" s="3" t="s">
        <v>5</v>
      </c>
      <c r="B1" s="3" t="s">
        <v>977</v>
      </c>
      <c r="C1" s="3" t="s">
        <v>7</v>
      </c>
      <c r="D1" s="3" t="s">
        <v>8</v>
      </c>
      <c r="E1" s="3" t="s">
        <v>9</v>
      </c>
      <c r="F1" s="3" t="s">
        <v>10</v>
      </c>
      <c r="G1" s="3" t="s">
        <v>14</v>
      </c>
      <c r="H1" s="3" t="s">
        <v>15</v>
      </c>
      <c r="I1" s="3" t="s">
        <v>978</v>
      </c>
      <c r="J1" s="3" t="s">
        <v>11</v>
      </c>
      <c r="K1" s="3" t="s">
        <v>979</v>
      </c>
      <c r="L1" s="4" t="s">
        <v>980</v>
      </c>
    </row>
    <row r="2" spans="1:21">
      <c r="A2">
        <f>COUNTA(Q5:Q11)</f>
        <v>7</v>
      </c>
      <c r="B2">
        <f>COUNTA(U5)</f>
        <v>1</v>
      </c>
      <c r="C2">
        <v>0</v>
      </c>
      <c r="D2">
        <v>0</v>
      </c>
      <c r="E2">
        <f>COUNTA(Q23:Q26)</f>
        <v>4</v>
      </c>
      <c r="F2">
        <f>COUNTA(Q14:Q20)</f>
        <v>7</v>
      </c>
      <c r="G2">
        <v>0</v>
      </c>
      <c r="H2">
        <v>0</v>
      </c>
      <c r="I2">
        <f>COUNTA(B29:B76)</f>
        <v>48</v>
      </c>
      <c r="J2">
        <f>COUNTA(B79:B84)</f>
        <v>6</v>
      </c>
      <c r="K2">
        <v>0</v>
      </c>
      <c r="L2">
        <f>F207</f>
        <v>118</v>
      </c>
    </row>
    <row r="4" spans="1:21" ht="84">
      <c r="A4" s="37" t="s">
        <v>981</v>
      </c>
      <c r="B4" s="37" t="s">
        <v>982</v>
      </c>
      <c r="C4" s="38" t="s">
        <v>983</v>
      </c>
      <c r="D4" s="38" t="s">
        <v>984</v>
      </c>
      <c r="E4" s="38" t="s">
        <v>985</v>
      </c>
      <c r="F4" s="38" t="s">
        <v>986</v>
      </c>
      <c r="G4" s="37" t="s">
        <v>987</v>
      </c>
      <c r="H4" s="37" t="s">
        <v>988</v>
      </c>
      <c r="I4" s="38" t="s">
        <v>989</v>
      </c>
      <c r="J4" s="38" t="s">
        <v>990</v>
      </c>
      <c r="K4" s="38" t="s">
        <v>991</v>
      </c>
      <c r="L4" s="37" t="s">
        <v>992</v>
      </c>
      <c r="M4" s="37" t="s">
        <v>993</v>
      </c>
      <c r="N4" s="37" t="s">
        <v>994</v>
      </c>
      <c r="O4" s="37" t="s">
        <v>995</v>
      </c>
      <c r="P4" s="38" t="s">
        <v>996</v>
      </c>
      <c r="Q4" s="37" t="s">
        <v>997</v>
      </c>
      <c r="R4" s="37" t="s">
        <v>998</v>
      </c>
      <c r="S4" s="37" t="s">
        <v>999</v>
      </c>
      <c r="T4" s="37" t="s">
        <v>3563</v>
      </c>
      <c r="U4" s="37" t="s">
        <v>3564</v>
      </c>
    </row>
    <row r="5" spans="1:21">
      <c r="A5" s="39">
        <v>39608</v>
      </c>
      <c r="B5">
        <v>1</v>
      </c>
      <c r="C5" s="40" t="s">
        <v>3565</v>
      </c>
      <c r="D5" s="40" t="s">
        <v>3566</v>
      </c>
      <c r="E5" s="40" t="s">
        <v>3567</v>
      </c>
      <c r="F5" s="40" t="s">
        <v>3568</v>
      </c>
      <c r="G5">
        <v>2007</v>
      </c>
      <c r="H5">
        <v>1702</v>
      </c>
      <c r="I5" s="40" t="s">
        <v>1005</v>
      </c>
      <c r="J5" s="40" t="s">
        <v>3569</v>
      </c>
      <c r="K5" s="40" t="s">
        <v>3570</v>
      </c>
      <c r="L5" s="39">
        <v>39504</v>
      </c>
      <c r="M5">
        <v>9</v>
      </c>
      <c r="N5">
        <v>0</v>
      </c>
      <c r="O5">
        <v>111</v>
      </c>
      <c r="P5" s="40" t="s">
        <v>1008</v>
      </c>
      <c r="Q5">
        <v>1</v>
      </c>
      <c r="R5">
        <v>2</v>
      </c>
      <c r="S5">
        <v>2</v>
      </c>
      <c r="T5" t="s">
        <v>49</v>
      </c>
      <c r="U5" t="s">
        <v>78</v>
      </c>
    </row>
    <row r="6" spans="1:21">
      <c r="A6" s="39">
        <v>39526</v>
      </c>
      <c r="B6">
        <v>1</v>
      </c>
      <c r="C6" s="40" t="s">
        <v>3571</v>
      </c>
      <c r="D6" s="40" t="s">
        <v>3572</v>
      </c>
      <c r="E6" s="40" t="s">
        <v>3573</v>
      </c>
      <c r="F6" s="40" t="s">
        <v>3574</v>
      </c>
      <c r="G6">
        <v>2007</v>
      </c>
      <c r="H6">
        <v>1702</v>
      </c>
      <c r="I6" s="40" t="s">
        <v>1005</v>
      </c>
      <c r="J6" s="40" t="s">
        <v>3575</v>
      </c>
      <c r="K6" s="40" t="s">
        <v>3576</v>
      </c>
      <c r="L6" s="39">
        <v>39420</v>
      </c>
      <c r="M6">
        <v>7</v>
      </c>
      <c r="N6">
        <v>2</v>
      </c>
      <c r="O6">
        <v>111</v>
      </c>
      <c r="P6" s="40" t="s">
        <v>1008</v>
      </c>
      <c r="Q6">
        <v>1</v>
      </c>
      <c r="R6">
        <v>2</v>
      </c>
      <c r="S6">
        <v>2</v>
      </c>
      <c r="T6" t="s">
        <v>49</v>
      </c>
      <c r="U6" t="s">
        <v>49</v>
      </c>
    </row>
    <row r="7" spans="1:21">
      <c r="A7" s="39">
        <v>39553</v>
      </c>
      <c r="B7">
        <v>1</v>
      </c>
      <c r="C7" s="40" t="s">
        <v>3577</v>
      </c>
      <c r="D7" s="40" t="s">
        <v>3578</v>
      </c>
      <c r="E7" s="40" t="s">
        <v>3579</v>
      </c>
      <c r="F7" s="40" t="s">
        <v>3580</v>
      </c>
      <c r="G7">
        <v>2007</v>
      </c>
      <c r="H7">
        <v>1702</v>
      </c>
      <c r="I7" s="40" t="s">
        <v>1005</v>
      </c>
      <c r="J7" s="40" t="s">
        <v>3581</v>
      </c>
      <c r="K7" s="40" t="s">
        <v>3582</v>
      </c>
      <c r="L7" s="39">
        <v>39463</v>
      </c>
      <c r="M7">
        <v>9</v>
      </c>
      <c r="N7">
        <v>0</v>
      </c>
      <c r="O7">
        <v>111</v>
      </c>
      <c r="P7" s="40" t="s">
        <v>1008</v>
      </c>
      <c r="Q7">
        <v>1</v>
      </c>
      <c r="R7">
        <v>2</v>
      </c>
      <c r="S7">
        <v>2</v>
      </c>
      <c r="T7" t="s">
        <v>49</v>
      </c>
      <c r="U7" t="s">
        <v>49</v>
      </c>
    </row>
    <row r="8" spans="1:21">
      <c r="A8" s="39">
        <v>39587</v>
      </c>
      <c r="B8">
        <v>1</v>
      </c>
      <c r="C8" s="40" t="s">
        <v>3583</v>
      </c>
      <c r="D8" s="40" t="s">
        <v>3584</v>
      </c>
      <c r="E8" s="40" t="s">
        <v>3585</v>
      </c>
      <c r="F8" s="40" t="s">
        <v>3586</v>
      </c>
      <c r="G8">
        <v>2007</v>
      </c>
      <c r="H8">
        <v>1702</v>
      </c>
      <c r="I8" s="40" t="s">
        <v>1005</v>
      </c>
      <c r="J8" s="40" t="s">
        <v>3587</v>
      </c>
      <c r="K8" s="40" t="s">
        <v>3588</v>
      </c>
      <c r="L8" s="39">
        <v>39462</v>
      </c>
      <c r="M8">
        <v>6</v>
      </c>
      <c r="N8">
        <v>3</v>
      </c>
      <c r="O8">
        <v>111</v>
      </c>
      <c r="P8" s="40" t="s">
        <v>1008</v>
      </c>
      <c r="Q8">
        <v>1</v>
      </c>
      <c r="R8">
        <v>2</v>
      </c>
      <c r="S8">
        <v>2</v>
      </c>
      <c r="T8" t="s">
        <v>49</v>
      </c>
      <c r="U8" t="s">
        <v>49</v>
      </c>
    </row>
    <row r="9" spans="1:21">
      <c r="A9" s="39">
        <v>39595</v>
      </c>
      <c r="B9">
        <v>1</v>
      </c>
      <c r="C9" s="40" t="s">
        <v>3589</v>
      </c>
      <c r="D9" s="40" t="s">
        <v>3590</v>
      </c>
      <c r="E9" s="40" t="s">
        <v>3591</v>
      </c>
      <c r="F9" s="40" t="s">
        <v>3592</v>
      </c>
      <c r="G9">
        <v>2007</v>
      </c>
      <c r="H9">
        <v>1702</v>
      </c>
      <c r="I9" s="40" t="s">
        <v>1005</v>
      </c>
      <c r="J9" s="40" t="s">
        <v>3593</v>
      </c>
      <c r="K9" s="40" t="s">
        <v>3594</v>
      </c>
      <c r="L9" s="39">
        <v>39497</v>
      </c>
      <c r="M9">
        <v>6</v>
      </c>
      <c r="N9">
        <v>3</v>
      </c>
      <c r="O9">
        <v>111</v>
      </c>
      <c r="P9" s="40" t="s">
        <v>1008</v>
      </c>
      <c r="Q9">
        <v>1</v>
      </c>
      <c r="R9">
        <v>2</v>
      </c>
      <c r="S9">
        <v>2</v>
      </c>
      <c r="T9" t="s">
        <v>49</v>
      </c>
      <c r="U9" t="s">
        <v>49</v>
      </c>
    </row>
    <row r="10" spans="1:21">
      <c r="A10" s="39">
        <v>39601</v>
      </c>
      <c r="B10">
        <v>1</v>
      </c>
      <c r="C10" s="40" t="s">
        <v>3595</v>
      </c>
      <c r="D10" s="40" t="s">
        <v>3596</v>
      </c>
      <c r="E10" s="40" t="s">
        <v>3597</v>
      </c>
      <c r="F10" s="40" t="s">
        <v>3598</v>
      </c>
      <c r="G10">
        <v>2007</v>
      </c>
      <c r="H10">
        <v>1702</v>
      </c>
      <c r="I10" s="40" t="s">
        <v>1005</v>
      </c>
      <c r="J10" s="40" t="s">
        <v>3599</v>
      </c>
      <c r="K10" s="40" t="s">
        <v>3600</v>
      </c>
      <c r="L10" s="39">
        <v>39526</v>
      </c>
      <c r="M10">
        <v>9</v>
      </c>
      <c r="N10">
        <v>0</v>
      </c>
      <c r="O10">
        <v>111</v>
      </c>
      <c r="P10" s="40" t="s">
        <v>1008</v>
      </c>
      <c r="Q10">
        <v>1</v>
      </c>
      <c r="R10">
        <v>2</v>
      </c>
      <c r="S10">
        <v>2</v>
      </c>
      <c r="T10" t="s">
        <v>49</v>
      </c>
      <c r="U10" t="s">
        <v>49</v>
      </c>
    </row>
    <row r="11" spans="1:21">
      <c r="A11" s="39">
        <v>39625</v>
      </c>
      <c r="B11">
        <v>1</v>
      </c>
      <c r="D11" s="40" t="s">
        <v>3601</v>
      </c>
      <c r="E11" s="40" t="s">
        <v>3602</v>
      </c>
      <c r="F11" s="40" t="s">
        <v>3603</v>
      </c>
      <c r="G11">
        <v>2007</v>
      </c>
      <c r="H11">
        <v>1702</v>
      </c>
      <c r="I11" s="40" t="s">
        <v>1005</v>
      </c>
      <c r="J11" s="40" t="s">
        <v>3604</v>
      </c>
      <c r="K11" s="40" t="s">
        <v>3605</v>
      </c>
      <c r="L11" s="39">
        <v>39560</v>
      </c>
      <c r="M11">
        <v>5</v>
      </c>
      <c r="N11">
        <v>4</v>
      </c>
      <c r="O11">
        <v>111</v>
      </c>
      <c r="P11" s="40" t="s">
        <v>1008</v>
      </c>
      <c r="Q11">
        <v>1</v>
      </c>
      <c r="R11">
        <v>2</v>
      </c>
      <c r="S11">
        <v>2</v>
      </c>
      <c r="T11" t="s">
        <v>49</v>
      </c>
      <c r="U11" t="s">
        <v>49</v>
      </c>
    </row>
    <row r="12" spans="1:21">
      <c r="A12" s="39"/>
      <c r="D12" s="40"/>
      <c r="E12" s="40"/>
      <c r="F12" s="40"/>
      <c r="I12" s="40"/>
      <c r="J12" s="40"/>
      <c r="K12" s="40"/>
      <c r="L12" s="39"/>
      <c r="P12" s="40"/>
    </row>
    <row r="13" spans="1:21">
      <c r="A13" s="39"/>
      <c r="D13" s="40"/>
      <c r="E13" s="40"/>
      <c r="F13" s="40"/>
      <c r="I13" s="40"/>
      <c r="J13" s="40"/>
      <c r="K13" s="40"/>
      <c r="L13" s="39"/>
      <c r="P13" s="40"/>
    </row>
    <row r="14" spans="1:21">
      <c r="A14" s="39">
        <v>39426</v>
      </c>
      <c r="B14">
        <v>1</v>
      </c>
      <c r="C14" s="40" t="s">
        <v>3606</v>
      </c>
      <c r="D14" s="40" t="s">
        <v>3607</v>
      </c>
      <c r="E14" s="40" t="s">
        <v>3608</v>
      </c>
      <c r="F14" s="40" t="s">
        <v>3609</v>
      </c>
      <c r="G14">
        <v>2007</v>
      </c>
      <c r="H14">
        <v>1702</v>
      </c>
      <c r="I14" s="40" t="s">
        <v>1005</v>
      </c>
      <c r="J14" s="40" t="s">
        <v>3610</v>
      </c>
      <c r="K14" s="40" t="s">
        <v>3611</v>
      </c>
      <c r="L14" s="39">
        <v>39357</v>
      </c>
      <c r="M14">
        <v>7</v>
      </c>
      <c r="N14">
        <v>2</v>
      </c>
      <c r="O14">
        <v>111</v>
      </c>
      <c r="P14" s="40" t="s">
        <v>1008</v>
      </c>
      <c r="Q14">
        <v>2</v>
      </c>
      <c r="R14">
        <v>2</v>
      </c>
      <c r="S14">
        <v>1</v>
      </c>
    </row>
    <row r="15" spans="1:21">
      <c r="A15" s="39">
        <v>39554</v>
      </c>
      <c r="B15">
        <v>1</v>
      </c>
      <c r="D15" s="40" t="s">
        <v>3612</v>
      </c>
      <c r="E15" s="40" t="s">
        <v>3613</v>
      </c>
      <c r="F15" s="40" t="s">
        <v>3614</v>
      </c>
      <c r="G15">
        <v>2007</v>
      </c>
      <c r="H15">
        <v>1702</v>
      </c>
      <c r="I15" s="40" t="s">
        <v>1005</v>
      </c>
      <c r="J15" s="40" t="s">
        <v>3615</v>
      </c>
      <c r="K15" s="40" t="s">
        <v>3616</v>
      </c>
      <c r="L15" s="39">
        <v>39462</v>
      </c>
      <c r="M15">
        <v>6</v>
      </c>
      <c r="N15">
        <v>3</v>
      </c>
      <c r="O15">
        <v>111</v>
      </c>
      <c r="P15" s="40" t="s">
        <v>1008</v>
      </c>
      <c r="Q15">
        <v>2</v>
      </c>
      <c r="R15">
        <v>2</v>
      </c>
      <c r="S15">
        <v>1</v>
      </c>
    </row>
    <row r="16" spans="1:21">
      <c r="A16" s="39">
        <v>39587</v>
      </c>
      <c r="B16">
        <v>1</v>
      </c>
      <c r="C16" s="40" t="s">
        <v>3617</v>
      </c>
      <c r="D16" s="40" t="s">
        <v>3618</v>
      </c>
      <c r="E16" s="40" t="s">
        <v>3619</v>
      </c>
      <c r="F16" s="40" t="s">
        <v>3620</v>
      </c>
      <c r="G16">
        <v>2007</v>
      </c>
      <c r="H16">
        <v>1702</v>
      </c>
      <c r="I16" s="40" t="s">
        <v>1005</v>
      </c>
      <c r="J16" s="40" t="s">
        <v>3621</v>
      </c>
      <c r="K16" s="40" t="s">
        <v>3622</v>
      </c>
      <c r="L16" s="39">
        <v>39391</v>
      </c>
      <c r="M16">
        <v>7</v>
      </c>
      <c r="N16">
        <v>2</v>
      </c>
      <c r="O16">
        <v>111</v>
      </c>
      <c r="P16" s="40" t="s">
        <v>1008</v>
      </c>
      <c r="Q16">
        <v>2</v>
      </c>
      <c r="R16">
        <v>2</v>
      </c>
      <c r="S16">
        <v>1</v>
      </c>
    </row>
    <row r="17" spans="1:19">
      <c r="A17" s="39">
        <v>39601</v>
      </c>
      <c r="B17">
        <v>7</v>
      </c>
      <c r="C17" s="40" t="s">
        <v>3623</v>
      </c>
      <c r="D17" s="40" t="s">
        <v>3624</v>
      </c>
      <c r="E17" s="40" t="s">
        <v>3625</v>
      </c>
      <c r="F17" s="40" t="s">
        <v>3626</v>
      </c>
      <c r="G17">
        <v>2007</v>
      </c>
      <c r="H17">
        <v>1702</v>
      </c>
      <c r="I17" s="40" t="s">
        <v>1005</v>
      </c>
      <c r="J17" s="40" t="s">
        <v>3627</v>
      </c>
      <c r="K17" s="40" t="s">
        <v>3628</v>
      </c>
      <c r="L17" s="39">
        <v>39358</v>
      </c>
      <c r="M17">
        <v>5</v>
      </c>
      <c r="N17">
        <v>4</v>
      </c>
      <c r="O17">
        <v>111</v>
      </c>
      <c r="P17" s="40" t="s">
        <v>1008</v>
      </c>
      <c r="Q17">
        <v>2</v>
      </c>
      <c r="R17">
        <v>2</v>
      </c>
      <c r="S17">
        <v>1</v>
      </c>
    </row>
    <row r="18" spans="1:19">
      <c r="A18" s="39">
        <v>39615</v>
      </c>
      <c r="B18">
        <v>1</v>
      </c>
      <c r="C18" s="40" t="s">
        <v>3629</v>
      </c>
      <c r="D18" s="40" t="s">
        <v>3630</v>
      </c>
      <c r="E18" s="40" t="s">
        <v>3631</v>
      </c>
      <c r="F18" s="40" t="s">
        <v>3632</v>
      </c>
      <c r="G18">
        <v>2007</v>
      </c>
      <c r="H18">
        <v>1702</v>
      </c>
      <c r="I18" s="40" t="s">
        <v>1005</v>
      </c>
      <c r="J18" s="40" t="s">
        <v>3633</v>
      </c>
      <c r="K18" s="40" t="s">
        <v>3634</v>
      </c>
      <c r="L18" s="39">
        <v>39454</v>
      </c>
      <c r="M18">
        <v>5</v>
      </c>
      <c r="N18">
        <v>4</v>
      </c>
      <c r="O18">
        <v>111</v>
      </c>
      <c r="P18" s="40" t="s">
        <v>1008</v>
      </c>
      <c r="Q18">
        <v>2</v>
      </c>
      <c r="R18">
        <v>2</v>
      </c>
      <c r="S18">
        <v>1</v>
      </c>
    </row>
    <row r="19" spans="1:19">
      <c r="A19" s="39">
        <v>39622</v>
      </c>
      <c r="B19">
        <v>1</v>
      </c>
      <c r="C19" s="40" t="s">
        <v>3635</v>
      </c>
      <c r="D19" s="40" t="s">
        <v>3636</v>
      </c>
      <c r="E19" s="40" t="s">
        <v>3637</v>
      </c>
      <c r="F19" s="40" t="s">
        <v>3638</v>
      </c>
      <c r="G19">
        <v>2007</v>
      </c>
      <c r="H19">
        <v>1702</v>
      </c>
      <c r="I19" s="40" t="s">
        <v>1005</v>
      </c>
      <c r="J19" s="40" t="s">
        <v>3639</v>
      </c>
      <c r="K19" s="40" t="s">
        <v>3640</v>
      </c>
      <c r="L19" s="39">
        <v>39553</v>
      </c>
      <c r="M19">
        <v>6</v>
      </c>
      <c r="N19">
        <v>3</v>
      </c>
      <c r="O19">
        <v>111</v>
      </c>
      <c r="P19" s="40" t="s">
        <v>1008</v>
      </c>
      <c r="Q19">
        <v>2</v>
      </c>
      <c r="R19">
        <v>2</v>
      </c>
      <c r="S19">
        <v>1</v>
      </c>
    </row>
    <row r="20" spans="1:19">
      <c r="A20" s="39">
        <v>39624</v>
      </c>
      <c r="B20">
        <v>1</v>
      </c>
      <c r="D20" s="40" t="s">
        <v>3641</v>
      </c>
      <c r="E20" s="40" t="s">
        <v>3642</v>
      </c>
      <c r="F20" s="40" t="s">
        <v>3643</v>
      </c>
      <c r="G20">
        <v>2007</v>
      </c>
      <c r="H20">
        <v>1702</v>
      </c>
      <c r="I20" s="40" t="s">
        <v>1005</v>
      </c>
      <c r="J20" s="40" t="s">
        <v>3644</v>
      </c>
      <c r="K20" s="40" t="s">
        <v>3645</v>
      </c>
      <c r="L20" s="39">
        <v>39554</v>
      </c>
      <c r="M20">
        <v>5</v>
      </c>
      <c r="N20">
        <v>4</v>
      </c>
      <c r="O20">
        <v>111</v>
      </c>
      <c r="P20" s="40" t="s">
        <v>1008</v>
      </c>
      <c r="Q20">
        <v>2</v>
      </c>
      <c r="R20">
        <v>2</v>
      </c>
      <c r="S20">
        <v>1</v>
      </c>
    </row>
    <row r="21" spans="1:19">
      <c r="A21" s="39"/>
      <c r="D21" s="40"/>
      <c r="E21" s="40"/>
      <c r="F21" s="40"/>
      <c r="I21" s="40"/>
      <c r="J21" s="40"/>
      <c r="K21" s="40"/>
      <c r="L21" s="39"/>
      <c r="P21" s="40"/>
    </row>
    <row r="22" spans="1:19">
      <c r="A22" s="39"/>
      <c r="D22" s="40"/>
      <c r="E22" s="40"/>
      <c r="F22" s="40"/>
      <c r="I22" s="40"/>
      <c r="J22" s="40"/>
      <c r="K22" s="40"/>
      <c r="L22" s="39"/>
      <c r="P22" s="40"/>
    </row>
    <row r="23" spans="1:19">
      <c r="A23" s="39">
        <v>39554</v>
      </c>
      <c r="B23">
        <v>7</v>
      </c>
      <c r="C23" s="40" t="s">
        <v>3646</v>
      </c>
      <c r="D23" s="40" t="s">
        <v>3647</v>
      </c>
      <c r="E23" s="40" t="s">
        <v>3648</v>
      </c>
      <c r="F23" s="40" t="s">
        <v>3649</v>
      </c>
      <c r="G23">
        <v>2007</v>
      </c>
      <c r="H23">
        <v>1702</v>
      </c>
      <c r="I23" s="40" t="s">
        <v>1005</v>
      </c>
      <c r="J23" s="40" t="s">
        <v>3650</v>
      </c>
      <c r="K23" s="40" t="s">
        <v>3651</v>
      </c>
      <c r="L23" s="39">
        <v>39454</v>
      </c>
      <c r="M23">
        <v>7</v>
      </c>
      <c r="N23">
        <v>2</v>
      </c>
      <c r="O23">
        <v>111</v>
      </c>
      <c r="P23" s="40" t="s">
        <v>1008</v>
      </c>
      <c r="Q23">
        <v>3</v>
      </c>
      <c r="R23">
        <v>2</v>
      </c>
      <c r="S23">
        <v>2</v>
      </c>
    </row>
    <row r="24" spans="1:19">
      <c r="A24" s="39">
        <v>39601</v>
      </c>
      <c r="B24">
        <v>1</v>
      </c>
      <c r="C24" s="40" t="s">
        <v>3652</v>
      </c>
      <c r="D24" s="40" t="s">
        <v>3653</v>
      </c>
      <c r="E24" s="40" t="s">
        <v>3654</v>
      </c>
      <c r="F24" s="40" t="s">
        <v>3655</v>
      </c>
      <c r="G24">
        <v>2007</v>
      </c>
      <c r="H24">
        <v>1702</v>
      </c>
      <c r="I24" s="40" t="s">
        <v>1005</v>
      </c>
      <c r="J24" s="40" t="s">
        <v>3656</v>
      </c>
      <c r="K24" s="40" t="s">
        <v>3657</v>
      </c>
      <c r="L24" s="39">
        <v>39503</v>
      </c>
      <c r="M24">
        <v>9</v>
      </c>
      <c r="N24">
        <v>0</v>
      </c>
      <c r="O24">
        <v>111</v>
      </c>
      <c r="P24" s="40" t="s">
        <v>1008</v>
      </c>
      <c r="Q24">
        <v>3</v>
      </c>
      <c r="R24">
        <v>2</v>
      </c>
      <c r="S24">
        <v>2</v>
      </c>
    </row>
    <row r="25" spans="1:19">
      <c r="A25" s="39">
        <v>39622</v>
      </c>
      <c r="B25">
        <v>1</v>
      </c>
      <c r="C25" s="40" t="s">
        <v>3658</v>
      </c>
      <c r="D25" s="40" t="s">
        <v>3659</v>
      </c>
      <c r="E25" s="40" t="s">
        <v>3660</v>
      </c>
      <c r="F25" s="40" t="s">
        <v>3661</v>
      </c>
      <c r="G25">
        <v>2007</v>
      </c>
      <c r="H25">
        <v>1702</v>
      </c>
      <c r="I25" s="40" t="s">
        <v>1005</v>
      </c>
      <c r="J25" s="40" t="s">
        <v>3662</v>
      </c>
      <c r="K25" s="40" t="s">
        <v>3663</v>
      </c>
      <c r="L25" s="39">
        <v>39524</v>
      </c>
      <c r="M25">
        <v>8</v>
      </c>
      <c r="N25">
        <v>1</v>
      </c>
      <c r="O25">
        <v>111</v>
      </c>
      <c r="P25" s="40" t="s">
        <v>1008</v>
      </c>
      <c r="Q25">
        <v>3</v>
      </c>
      <c r="R25">
        <v>2</v>
      </c>
      <c r="S25">
        <v>2</v>
      </c>
    </row>
    <row r="26" spans="1:19">
      <c r="A26" s="39">
        <v>39624</v>
      </c>
      <c r="B26">
        <v>1</v>
      </c>
      <c r="D26" s="40" t="s">
        <v>3664</v>
      </c>
      <c r="E26" s="40" t="s">
        <v>3665</v>
      </c>
      <c r="F26" s="40" t="s">
        <v>3666</v>
      </c>
      <c r="G26">
        <v>2007</v>
      </c>
      <c r="H26">
        <v>1702</v>
      </c>
      <c r="I26" s="40" t="s">
        <v>1005</v>
      </c>
      <c r="J26" s="40" t="s">
        <v>3667</v>
      </c>
      <c r="K26" s="40" t="s">
        <v>3668</v>
      </c>
      <c r="L26" s="39">
        <v>39560</v>
      </c>
      <c r="M26">
        <v>6</v>
      </c>
      <c r="N26">
        <v>3</v>
      </c>
      <c r="O26">
        <v>111</v>
      </c>
      <c r="P26" s="40" t="s">
        <v>1008</v>
      </c>
      <c r="Q26">
        <v>3</v>
      </c>
      <c r="R26">
        <v>2</v>
      </c>
      <c r="S26">
        <v>2</v>
      </c>
    </row>
    <row r="27" spans="1:19">
      <c r="A27" s="39"/>
      <c r="D27" s="40"/>
      <c r="E27" s="40"/>
      <c r="F27" s="40"/>
      <c r="I27" s="40"/>
      <c r="J27" s="40"/>
      <c r="K27" s="40"/>
      <c r="L27" s="39"/>
      <c r="P27" s="40"/>
    </row>
    <row r="28" spans="1:19">
      <c r="A28" s="39"/>
      <c r="D28" s="40"/>
      <c r="E28" s="40"/>
      <c r="F28" s="40"/>
      <c r="I28" s="40"/>
      <c r="J28" s="40"/>
      <c r="K28" s="40"/>
      <c r="L28" s="39"/>
      <c r="P28" s="40"/>
    </row>
    <row r="29" spans="1:19">
      <c r="A29" s="39">
        <v>39420</v>
      </c>
      <c r="B29">
        <v>1</v>
      </c>
      <c r="C29" s="40" t="s">
        <v>3669</v>
      </c>
      <c r="D29" s="40" t="s">
        <v>3670</v>
      </c>
      <c r="E29" s="40" t="s">
        <v>3671</v>
      </c>
      <c r="F29" s="40" t="s">
        <v>3672</v>
      </c>
      <c r="G29">
        <v>2007</v>
      </c>
      <c r="H29">
        <v>1702</v>
      </c>
      <c r="I29" s="40" t="s">
        <v>1005</v>
      </c>
      <c r="J29" s="40" t="s">
        <v>3673</v>
      </c>
      <c r="K29" s="40" t="s">
        <v>3674</v>
      </c>
      <c r="L29" s="39">
        <v>39391</v>
      </c>
      <c r="M29">
        <v>9</v>
      </c>
      <c r="N29">
        <v>0</v>
      </c>
      <c r="O29">
        <v>111</v>
      </c>
      <c r="P29" s="40" t="s">
        <v>1008</v>
      </c>
      <c r="Q29">
        <v>1</v>
      </c>
      <c r="R29">
        <v>1</v>
      </c>
      <c r="S29">
        <v>2</v>
      </c>
    </row>
    <row r="30" spans="1:19">
      <c r="A30" s="39">
        <v>39420</v>
      </c>
      <c r="B30">
        <v>1</v>
      </c>
      <c r="C30" s="40" t="s">
        <v>3675</v>
      </c>
      <c r="D30" s="40" t="s">
        <v>3676</v>
      </c>
      <c r="E30" s="40" t="s">
        <v>3677</v>
      </c>
      <c r="F30" s="40" t="s">
        <v>3678</v>
      </c>
      <c r="G30">
        <v>2007</v>
      </c>
      <c r="H30">
        <v>1702</v>
      </c>
      <c r="I30" s="40" t="s">
        <v>1005</v>
      </c>
      <c r="J30" s="40" t="s">
        <v>3679</v>
      </c>
      <c r="K30" s="40" t="s">
        <v>3680</v>
      </c>
      <c r="L30" s="39">
        <v>39385</v>
      </c>
      <c r="M30">
        <v>9</v>
      </c>
      <c r="N30">
        <v>0</v>
      </c>
      <c r="O30">
        <v>111</v>
      </c>
      <c r="P30" s="40" t="s">
        <v>1008</v>
      </c>
      <c r="Q30">
        <v>1</v>
      </c>
      <c r="R30">
        <v>1</v>
      </c>
      <c r="S30">
        <v>2</v>
      </c>
    </row>
    <row r="31" spans="1:19">
      <c r="A31" s="39">
        <v>39426</v>
      </c>
      <c r="B31">
        <v>1</v>
      </c>
      <c r="C31" s="40" t="s">
        <v>3681</v>
      </c>
      <c r="D31" s="40" t="s">
        <v>3682</v>
      </c>
      <c r="E31" s="40" t="s">
        <v>3683</v>
      </c>
      <c r="F31" s="40" t="s">
        <v>3684</v>
      </c>
      <c r="G31">
        <v>2007</v>
      </c>
      <c r="H31">
        <v>1702</v>
      </c>
      <c r="I31" s="40" t="s">
        <v>1005</v>
      </c>
      <c r="J31" s="40" t="s">
        <v>3685</v>
      </c>
      <c r="K31" s="40" t="s">
        <v>3686</v>
      </c>
      <c r="L31" s="39">
        <v>39364</v>
      </c>
      <c r="M31">
        <v>9</v>
      </c>
      <c r="N31">
        <v>0</v>
      </c>
      <c r="O31">
        <v>111</v>
      </c>
      <c r="P31" s="40" t="s">
        <v>1008</v>
      </c>
      <c r="Q31">
        <v>1</v>
      </c>
      <c r="R31">
        <v>1</v>
      </c>
      <c r="S31">
        <v>2</v>
      </c>
    </row>
    <row r="32" spans="1:19">
      <c r="A32" s="39">
        <v>39426</v>
      </c>
      <c r="B32">
        <v>1</v>
      </c>
      <c r="C32" s="40" t="s">
        <v>3687</v>
      </c>
      <c r="D32" s="40" t="s">
        <v>3688</v>
      </c>
      <c r="E32" s="40" t="s">
        <v>3689</v>
      </c>
      <c r="F32" s="40" t="s">
        <v>3690</v>
      </c>
      <c r="G32">
        <v>2007</v>
      </c>
      <c r="H32">
        <v>1702</v>
      </c>
      <c r="I32" s="40" t="s">
        <v>1005</v>
      </c>
      <c r="J32" s="40" t="s">
        <v>3691</v>
      </c>
      <c r="K32" s="40" t="s">
        <v>3692</v>
      </c>
      <c r="L32" s="39">
        <v>39357</v>
      </c>
      <c r="M32">
        <v>7</v>
      </c>
      <c r="N32">
        <v>2</v>
      </c>
      <c r="O32">
        <v>111</v>
      </c>
      <c r="P32" s="40" t="s">
        <v>1008</v>
      </c>
      <c r="Q32">
        <v>2</v>
      </c>
      <c r="R32">
        <v>1</v>
      </c>
      <c r="S32">
        <v>1</v>
      </c>
    </row>
    <row r="33" spans="1:19">
      <c r="A33" s="39">
        <v>39455</v>
      </c>
      <c r="B33">
        <v>1</v>
      </c>
      <c r="C33" s="40" t="s">
        <v>3693</v>
      </c>
      <c r="D33" s="40" t="s">
        <v>3694</v>
      </c>
      <c r="E33" s="40" t="s">
        <v>3695</v>
      </c>
      <c r="F33" s="40" t="s">
        <v>3696</v>
      </c>
      <c r="G33">
        <v>2007</v>
      </c>
      <c r="H33">
        <v>1702</v>
      </c>
      <c r="I33" s="40" t="s">
        <v>1005</v>
      </c>
      <c r="J33" s="40" t="s">
        <v>3697</v>
      </c>
      <c r="K33" s="40" t="s">
        <v>3698</v>
      </c>
      <c r="L33" s="39">
        <v>39392</v>
      </c>
      <c r="M33">
        <v>7</v>
      </c>
      <c r="N33">
        <v>2</v>
      </c>
      <c r="O33">
        <v>111</v>
      </c>
      <c r="P33" s="40" t="s">
        <v>1008</v>
      </c>
      <c r="Q33">
        <v>1</v>
      </c>
      <c r="R33">
        <v>1</v>
      </c>
      <c r="S33">
        <v>2</v>
      </c>
    </row>
    <row r="34" spans="1:19">
      <c r="A34" s="39">
        <v>39462</v>
      </c>
      <c r="B34">
        <v>1</v>
      </c>
      <c r="C34" s="40" t="s">
        <v>3699</v>
      </c>
      <c r="D34" s="40" t="s">
        <v>3700</v>
      </c>
      <c r="E34" s="40" t="s">
        <v>3701</v>
      </c>
      <c r="F34" s="40" t="s">
        <v>3702</v>
      </c>
      <c r="G34">
        <v>2007</v>
      </c>
      <c r="H34">
        <v>1702</v>
      </c>
      <c r="I34" s="40" t="s">
        <v>1005</v>
      </c>
      <c r="J34" s="40" t="s">
        <v>3703</v>
      </c>
      <c r="K34" s="40" t="s">
        <v>3704</v>
      </c>
      <c r="L34" s="39">
        <v>39364</v>
      </c>
      <c r="M34">
        <v>5</v>
      </c>
      <c r="N34">
        <v>3</v>
      </c>
      <c r="O34">
        <v>111</v>
      </c>
      <c r="P34" s="40" t="s">
        <v>1008</v>
      </c>
      <c r="Q34">
        <v>1</v>
      </c>
      <c r="R34">
        <v>1</v>
      </c>
      <c r="S34">
        <v>2</v>
      </c>
    </row>
    <row r="35" spans="1:19">
      <c r="A35" s="39">
        <v>39463</v>
      </c>
      <c r="B35">
        <v>1</v>
      </c>
      <c r="C35" s="40" t="s">
        <v>3705</v>
      </c>
      <c r="D35" s="40" t="s">
        <v>3706</v>
      </c>
      <c r="E35" s="40" t="s">
        <v>3707</v>
      </c>
      <c r="F35" s="40" t="s">
        <v>3708</v>
      </c>
      <c r="G35">
        <v>2007</v>
      </c>
      <c r="H35">
        <v>1702</v>
      </c>
      <c r="I35" s="40" t="s">
        <v>1005</v>
      </c>
      <c r="J35" s="40" t="s">
        <v>3709</v>
      </c>
      <c r="K35" s="40" t="s">
        <v>3710</v>
      </c>
      <c r="L35" s="39">
        <v>39413</v>
      </c>
      <c r="M35">
        <v>9</v>
      </c>
      <c r="N35">
        <v>0</v>
      </c>
      <c r="O35">
        <v>111</v>
      </c>
      <c r="P35" s="40" t="s">
        <v>1008</v>
      </c>
      <c r="Q35">
        <v>1</v>
      </c>
      <c r="R35">
        <v>1</v>
      </c>
      <c r="S35">
        <v>2</v>
      </c>
    </row>
    <row r="36" spans="1:19">
      <c r="A36" s="39">
        <v>39463</v>
      </c>
      <c r="B36">
        <v>1</v>
      </c>
      <c r="C36" s="40" t="s">
        <v>3711</v>
      </c>
      <c r="D36" s="40" t="s">
        <v>3712</v>
      </c>
      <c r="E36" s="40" t="s">
        <v>3713</v>
      </c>
      <c r="F36" s="40" t="s">
        <v>3714</v>
      </c>
      <c r="G36">
        <v>2007</v>
      </c>
      <c r="H36">
        <v>1702</v>
      </c>
      <c r="I36" s="40" t="s">
        <v>1005</v>
      </c>
      <c r="J36" s="40" t="s">
        <v>3715</v>
      </c>
      <c r="K36" s="40" t="s">
        <v>3716</v>
      </c>
      <c r="L36" s="39">
        <v>39358</v>
      </c>
      <c r="M36">
        <v>9</v>
      </c>
      <c r="N36">
        <v>0</v>
      </c>
      <c r="O36">
        <v>111</v>
      </c>
      <c r="P36" s="40" t="s">
        <v>1008</v>
      </c>
      <c r="Q36">
        <v>1</v>
      </c>
      <c r="R36">
        <v>1</v>
      </c>
      <c r="S36">
        <v>2</v>
      </c>
    </row>
    <row r="37" spans="1:19">
      <c r="A37" s="39">
        <v>39469</v>
      </c>
      <c r="B37">
        <v>1</v>
      </c>
      <c r="C37" s="40" t="s">
        <v>3717</v>
      </c>
      <c r="D37" s="40" t="s">
        <v>3718</v>
      </c>
      <c r="E37" s="40" t="s">
        <v>3719</v>
      </c>
      <c r="F37" s="40" t="s">
        <v>3720</v>
      </c>
      <c r="G37">
        <v>2007</v>
      </c>
      <c r="H37">
        <v>1702</v>
      </c>
      <c r="I37" s="40" t="s">
        <v>1005</v>
      </c>
      <c r="J37" s="40" t="s">
        <v>3721</v>
      </c>
      <c r="K37" s="40" t="s">
        <v>3722</v>
      </c>
      <c r="L37" s="39">
        <v>39384</v>
      </c>
      <c r="M37">
        <v>5</v>
      </c>
      <c r="N37">
        <v>4</v>
      </c>
      <c r="O37">
        <v>111</v>
      </c>
      <c r="P37" s="40" t="s">
        <v>1008</v>
      </c>
      <c r="Q37">
        <v>1</v>
      </c>
      <c r="R37">
        <v>1</v>
      </c>
      <c r="S37">
        <v>2</v>
      </c>
    </row>
    <row r="38" spans="1:19">
      <c r="A38" s="39">
        <v>39498</v>
      </c>
      <c r="B38">
        <v>1</v>
      </c>
      <c r="C38" s="40" t="s">
        <v>3723</v>
      </c>
      <c r="D38" s="40" t="s">
        <v>3724</v>
      </c>
      <c r="E38" s="40" t="s">
        <v>3725</v>
      </c>
      <c r="F38" s="40" t="s">
        <v>3726</v>
      </c>
      <c r="G38">
        <v>2007</v>
      </c>
      <c r="H38">
        <v>1702</v>
      </c>
      <c r="I38" s="40" t="s">
        <v>1005</v>
      </c>
      <c r="J38" s="40" t="s">
        <v>3727</v>
      </c>
      <c r="K38" s="40" t="s">
        <v>3728</v>
      </c>
      <c r="L38" s="39">
        <v>39412</v>
      </c>
      <c r="M38">
        <v>9</v>
      </c>
      <c r="N38">
        <v>0</v>
      </c>
      <c r="O38">
        <v>111</v>
      </c>
      <c r="P38" s="40" t="s">
        <v>1008</v>
      </c>
      <c r="Q38">
        <v>1</v>
      </c>
      <c r="R38">
        <v>1</v>
      </c>
      <c r="S38">
        <v>2</v>
      </c>
    </row>
    <row r="39" spans="1:19">
      <c r="A39" s="39">
        <v>39498</v>
      </c>
      <c r="B39">
        <v>1</v>
      </c>
      <c r="C39" s="40" t="s">
        <v>3729</v>
      </c>
      <c r="D39" s="40" t="s">
        <v>3730</v>
      </c>
      <c r="E39" s="40" t="s">
        <v>3731</v>
      </c>
      <c r="F39" s="40" t="s">
        <v>3732</v>
      </c>
      <c r="G39">
        <v>2007</v>
      </c>
      <c r="H39">
        <v>1702</v>
      </c>
      <c r="I39" s="40" t="s">
        <v>1005</v>
      </c>
      <c r="J39" s="40" t="s">
        <v>3733</v>
      </c>
      <c r="K39" s="40" t="s">
        <v>3734</v>
      </c>
      <c r="L39" s="39">
        <v>39386</v>
      </c>
      <c r="M39">
        <v>7</v>
      </c>
      <c r="N39">
        <v>2</v>
      </c>
      <c r="O39">
        <v>111</v>
      </c>
      <c r="P39" s="40" t="s">
        <v>1008</v>
      </c>
      <c r="Q39">
        <v>1</v>
      </c>
      <c r="R39">
        <v>1</v>
      </c>
      <c r="S39">
        <v>2</v>
      </c>
    </row>
    <row r="40" spans="1:19">
      <c r="A40" s="39">
        <v>39498</v>
      </c>
      <c r="B40">
        <v>1</v>
      </c>
      <c r="C40" s="40" t="s">
        <v>3735</v>
      </c>
      <c r="D40" s="40" t="s">
        <v>3736</v>
      </c>
      <c r="E40" s="40" t="s">
        <v>3737</v>
      </c>
      <c r="F40" s="40" t="s">
        <v>3738</v>
      </c>
      <c r="G40">
        <v>2007</v>
      </c>
      <c r="H40">
        <v>1702</v>
      </c>
      <c r="I40" s="40" t="s">
        <v>1005</v>
      </c>
      <c r="J40" s="40" t="s">
        <v>3739</v>
      </c>
      <c r="K40" s="40" t="s">
        <v>3740</v>
      </c>
      <c r="L40" s="39">
        <v>39420</v>
      </c>
      <c r="M40">
        <v>8</v>
      </c>
      <c r="N40">
        <v>1</v>
      </c>
      <c r="O40">
        <v>111</v>
      </c>
      <c r="P40" s="40" t="s">
        <v>1008</v>
      </c>
      <c r="Q40">
        <v>1</v>
      </c>
      <c r="R40">
        <v>1</v>
      </c>
      <c r="S40">
        <v>2</v>
      </c>
    </row>
    <row r="41" spans="1:19">
      <c r="A41" s="39">
        <v>39498</v>
      </c>
      <c r="B41">
        <v>1</v>
      </c>
      <c r="C41" s="40" t="s">
        <v>3741</v>
      </c>
      <c r="D41" s="40" t="s">
        <v>3742</v>
      </c>
      <c r="E41" s="40" t="s">
        <v>3743</v>
      </c>
      <c r="F41" s="40" t="s">
        <v>3744</v>
      </c>
      <c r="G41">
        <v>2007</v>
      </c>
      <c r="H41">
        <v>1702</v>
      </c>
      <c r="I41" s="40" t="s">
        <v>1005</v>
      </c>
      <c r="J41" s="40" t="s">
        <v>3745</v>
      </c>
      <c r="K41" s="40" t="s">
        <v>3746</v>
      </c>
      <c r="L41" s="39">
        <v>39420</v>
      </c>
      <c r="M41">
        <v>8</v>
      </c>
      <c r="N41">
        <v>1</v>
      </c>
      <c r="O41">
        <v>111</v>
      </c>
      <c r="P41" s="40" t="s">
        <v>1008</v>
      </c>
      <c r="Q41">
        <v>1</v>
      </c>
      <c r="R41">
        <v>1</v>
      </c>
      <c r="S41">
        <v>2</v>
      </c>
    </row>
    <row r="42" spans="1:19">
      <c r="A42" s="39">
        <v>39498</v>
      </c>
      <c r="B42">
        <v>1</v>
      </c>
      <c r="C42" s="40" t="s">
        <v>3747</v>
      </c>
      <c r="D42" s="40" t="s">
        <v>3748</v>
      </c>
      <c r="E42" s="40" t="s">
        <v>3749</v>
      </c>
      <c r="F42" s="40" t="s">
        <v>3750</v>
      </c>
      <c r="G42">
        <v>2007</v>
      </c>
      <c r="H42">
        <v>1702</v>
      </c>
      <c r="I42" s="40" t="s">
        <v>1005</v>
      </c>
      <c r="J42" s="40" t="s">
        <v>3751</v>
      </c>
      <c r="K42" s="40" t="s">
        <v>3752</v>
      </c>
      <c r="L42" s="39">
        <v>39414</v>
      </c>
      <c r="M42">
        <v>9</v>
      </c>
      <c r="N42">
        <v>0</v>
      </c>
      <c r="O42">
        <v>111</v>
      </c>
      <c r="P42" s="40" t="s">
        <v>1008</v>
      </c>
      <c r="Q42">
        <v>1</v>
      </c>
      <c r="R42">
        <v>1</v>
      </c>
      <c r="S42">
        <v>2</v>
      </c>
    </row>
    <row r="43" spans="1:19">
      <c r="A43" s="39">
        <v>39504</v>
      </c>
      <c r="B43">
        <v>1</v>
      </c>
      <c r="C43" s="40" t="s">
        <v>3753</v>
      </c>
      <c r="D43" s="40" t="s">
        <v>3754</v>
      </c>
      <c r="E43" s="40" t="s">
        <v>3755</v>
      </c>
      <c r="F43" s="40" t="s">
        <v>3756</v>
      </c>
      <c r="G43">
        <v>2007</v>
      </c>
      <c r="H43">
        <v>1702</v>
      </c>
      <c r="I43" s="40" t="s">
        <v>1005</v>
      </c>
      <c r="J43" s="40" t="s">
        <v>3757</v>
      </c>
      <c r="K43" s="40" t="s">
        <v>3758</v>
      </c>
      <c r="L43" s="39">
        <v>39419</v>
      </c>
      <c r="M43">
        <v>9</v>
      </c>
      <c r="N43">
        <v>0</v>
      </c>
      <c r="O43">
        <v>111</v>
      </c>
      <c r="P43" s="40" t="s">
        <v>1008</v>
      </c>
      <c r="Q43">
        <v>1</v>
      </c>
      <c r="R43">
        <v>1</v>
      </c>
      <c r="S43">
        <v>2</v>
      </c>
    </row>
    <row r="44" spans="1:19">
      <c r="A44" s="39">
        <v>39505</v>
      </c>
      <c r="B44">
        <v>1</v>
      </c>
      <c r="C44" s="40" t="s">
        <v>3759</v>
      </c>
      <c r="D44" s="40" t="s">
        <v>3760</v>
      </c>
      <c r="E44" s="40" t="s">
        <v>3761</v>
      </c>
      <c r="F44" s="40" t="s">
        <v>3762</v>
      </c>
      <c r="G44">
        <v>2007</v>
      </c>
      <c r="H44">
        <v>1702</v>
      </c>
      <c r="I44" s="40" t="s">
        <v>1005</v>
      </c>
      <c r="J44" s="40" t="s">
        <v>3763</v>
      </c>
      <c r="K44" s="40" t="s">
        <v>3764</v>
      </c>
      <c r="L44" s="39">
        <v>39392</v>
      </c>
      <c r="M44">
        <v>7</v>
      </c>
      <c r="N44">
        <v>2</v>
      </c>
      <c r="O44">
        <v>111</v>
      </c>
      <c r="P44" s="40" t="s">
        <v>1008</v>
      </c>
      <c r="Q44">
        <v>1</v>
      </c>
      <c r="R44">
        <v>1</v>
      </c>
      <c r="S44">
        <v>2</v>
      </c>
    </row>
    <row r="45" spans="1:19">
      <c r="A45" s="39">
        <v>39510</v>
      </c>
      <c r="B45">
        <v>1</v>
      </c>
      <c r="C45" s="40" t="s">
        <v>3765</v>
      </c>
      <c r="D45" s="40" t="s">
        <v>3766</v>
      </c>
      <c r="E45" s="40" t="s">
        <v>3767</v>
      </c>
      <c r="F45" s="40" t="s">
        <v>3768</v>
      </c>
      <c r="G45">
        <v>2007</v>
      </c>
      <c r="H45">
        <v>1702</v>
      </c>
      <c r="I45" s="40" t="s">
        <v>1005</v>
      </c>
      <c r="J45" s="40" t="s">
        <v>3769</v>
      </c>
      <c r="K45" s="40" t="s">
        <v>3770</v>
      </c>
      <c r="L45" s="39">
        <v>39455</v>
      </c>
      <c r="M45">
        <v>9</v>
      </c>
      <c r="N45">
        <v>0</v>
      </c>
      <c r="O45">
        <v>111</v>
      </c>
      <c r="P45" s="40" t="s">
        <v>1008</v>
      </c>
      <c r="Q45">
        <v>1</v>
      </c>
      <c r="R45">
        <v>1</v>
      </c>
      <c r="S45">
        <v>2</v>
      </c>
    </row>
    <row r="46" spans="1:19">
      <c r="A46" s="39">
        <v>39525</v>
      </c>
      <c r="B46">
        <v>1</v>
      </c>
      <c r="C46" s="40" t="s">
        <v>3771</v>
      </c>
      <c r="D46" s="40" t="s">
        <v>3772</v>
      </c>
      <c r="E46" s="40" t="s">
        <v>3773</v>
      </c>
      <c r="F46" s="40" t="s">
        <v>3774</v>
      </c>
      <c r="G46">
        <v>2007</v>
      </c>
      <c r="H46">
        <v>1702</v>
      </c>
      <c r="I46" s="40" t="s">
        <v>1005</v>
      </c>
      <c r="J46" s="40" t="s">
        <v>3775</v>
      </c>
      <c r="K46" s="40" t="s">
        <v>3776</v>
      </c>
      <c r="L46" s="39">
        <v>39356</v>
      </c>
      <c r="M46">
        <v>7</v>
      </c>
      <c r="N46">
        <v>2</v>
      </c>
      <c r="O46">
        <v>111</v>
      </c>
      <c r="P46" s="40" t="s">
        <v>1008</v>
      </c>
      <c r="Q46">
        <v>3</v>
      </c>
      <c r="R46">
        <v>1</v>
      </c>
      <c r="S46">
        <v>2</v>
      </c>
    </row>
    <row r="47" spans="1:19">
      <c r="A47" s="39">
        <v>39532</v>
      </c>
      <c r="B47">
        <v>1</v>
      </c>
      <c r="C47" s="40" t="s">
        <v>3777</v>
      </c>
      <c r="D47" s="40" t="s">
        <v>3778</v>
      </c>
      <c r="E47" s="40" t="s">
        <v>3779</v>
      </c>
      <c r="F47" s="40" t="s">
        <v>3780</v>
      </c>
      <c r="G47">
        <v>2007</v>
      </c>
      <c r="H47">
        <v>1702</v>
      </c>
      <c r="I47" s="40" t="s">
        <v>1005</v>
      </c>
      <c r="J47" s="40" t="s">
        <v>3781</v>
      </c>
      <c r="K47" s="40" t="s">
        <v>3782</v>
      </c>
      <c r="L47" s="39">
        <v>39365</v>
      </c>
      <c r="M47">
        <v>6</v>
      </c>
      <c r="N47">
        <v>3</v>
      </c>
      <c r="O47">
        <v>111</v>
      </c>
      <c r="P47" s="40" t="s">
        <v>1008</v>
      </c>
      <c r="Q47">
        <v>1</v>
      </c>
      <c r="R47">
        <v>1</v>
      </c>
      <c r="S47">
        <v>2</v>
      </c>
    </row>
    <row r="48" spans="1:19">
      <c r="A48" s="39">
        <v>39532</v>
      </c>
      <c r="B48">
        <v>1</v>
      </c>
      <c r="C48" s="40" t="s">
        <v>3783</v>
      </c>
      <c r="D48" s="40" t="s">
        <v>3784</v>
      </c>
      <c r="E48" s="40" t="s">
        <v>3785</v>
      </c>
      <c r="F48" s="40" t="s">
        <v>3786</v>
      </c>
      <c r="G48">
        <v>2007</v>
      </c>
      <c r="H48">
        <v>1702</v>
      </c>
      <c r="I48" s="40" t="s">
        <v>1005</v>
      </c>
      <c r="J48" s="40" t="s">
        <v>3787</v>
      </c>
      <c r="K48" s="40" t="s">
        <v>3788</v>
      </c>
      <c r="L48" s="39">
        <v>39393</v>
      </c>
      <c r="M48">
        <v>6</v>
      </c>
      <c r="N48">
        <v>3</v>
      </c>
      <c r="O48">
        <v>111</v>
      </c>
      <c r="P48" s="40" t="s">
        <v>1008</v>
      </c>
      <c r="Q48">
        <v>1</v>
      </c>
      <c r="R48">
        <v>1</v>
      </c>
      <c r="S48">
        <v>2</v>
      </c>
    </row>
    <row r="49" spans="1:19">
      <c r="A49" s="39">
        <v>39538</v>
      </c>
      <c r="B49">
        <v>1</v>
      </c>
      <c r="C49" s="40" t="s">
        <v>3789</v>
      </c>
      <c r="D49" s="40" t="s">
        <v>3790</v>
      </c>
      <c r="E49" s="40" t="s">
        <v>3791</v>
      </c>
      <c r="F49" s="40" t="s">
        <v>3792</v>
      </c>
      <c r="G49">
        <v>2007</v>
      </c>
      <c r="H49">
        <v>1702</v>
      </c>
      <c r="I49" s="40" t="s">
        <v>1005</v>
      </c>
      <c r="J49" s="40" t="s">
        <v>3793</v>
      </c>
      <c r="K49" s="40" t="s">
        <v>3794</v>
      </c>
      <c r="L49" s="39">
        <v>39413</v>
      </c>
      <c r="M49">
        <v>5</v>
      </c>
      <c r="N49">
        <v>3</v>
      </c>
      <c r="O49">
        <v>111</v>
      </c>
      <c r="P49" s="40" t="s">
        <v>1008</v>
      </c>
      <c r="Q49">
        <v>2</v>
      </c>
      <c r="R49">
        <v>1</v>
      </c>
      <c r="S49">
        <v>1</v>
      </c>
    </row>
    <row r="50" spans="1:19">
      <c r="A50" s="39">
        <v>39553</v>
      </c>
      <c r="B50">
        <v>1</v>
      </c>
      <c r="C50" s="40" t="s">
        <v>3795</v>
      </c>
      <c r="D50" s="40" t="s">
        <v>3796</v>
      </c>
      <c r="E50" s="40" t="s">
        <v>3797</v>
      </c>
      <c r="F50" s="40" t="s">
        <v>3798</v>
      </c>
      <c r="G50">
        <v>2007</v>
      </c>
      <c r="H50">
        <v>1702</v>
      </c>
      <c r="I50" s="40" t="s">
        <v>1005</v>
      </c>
      <c r="J50" s="40" t="s">
        <v>3799</v>
      </c>
      <c r="K50" s="40" t="s">
        <v>3800</v>
      </c>
      <c r="L50" s="39">
        <v>39531</v>
      </c>
      <c r="M50">
        <v>9</v>
      </c>
      <c r="N50">
        <v>0</v>
      </c>
      <c r="O50">
        <v>111</v>
      </c>
      <c r="P50" s="40" t="s">
        <v>1008</v>
      </c>
      <c r="Q50">
        <v>1</v>
      </c>
      <c r="R50">
        <v>1</v>
      </c>
      <c r="S50">
        <v>2</v>
      </c>
    </row>
    <row r="51" spans="1:19">
      <c r="A51" s="39">
        <v>39554</v>
      </c>
      <c r="B51">
        <v>1</v>
      </c>
      <c r="C51" s="40" t="s">
        <v>3801</v>
      </c>
      <c r="D51" s="40" t="s">
        <v>3802</v>
      </c>
      <c r="E51" s="40" t="s">
        <v>3803</v>
      </c>
      <c r="F51" s="40" t="s">
        <v>3804</v>
      </c>
      <c r="G51">
        <v>2007</v>
      </c>
      <c r="H51">
        <v>1702</v>
      </c>
      <c r="I51" s="40" t="s">
        <v>1005</v>
      </c>
      <c r="J51" s="40" t="s">
        <v>3805</v>
      </c>
      <c r="K51" s="40" t="s">
        <v>3806</v>
      </c>
      <c r="L51" s="39">
        <v>39531</v>
      </c>
      <c r="M51">
        <v>9</v>
      </c>
      <c r="N51">
        <v>0</v>
      </c>
      <c r="O51">
        <v>111</v>
      </c>
      <c r="P51" s="40" t="s">
        <v>1008</v>
      </c>
      <c r="Q51">
        <v>1</v>
      </c>
      <c r="R51">
        <v>1</v>
      </c>
      <c r="S51">
        <v>2</v>
      </c>
    </row>
    <row r="52" spans="1:19">
      <c r="A52" s="39">
        <v>39561</v>
      </c>
      <c r="B52">
        <v>1</v>
      </c>
      <c r="C52" s="40" t="s">
        <v>3807</v>
      </c>
      <c r="D52" s="40" t="s">
        <v>3808</v>
      </c>
      <c r="E52" s="40" t="s">
        <v>3809</v>
      </c>
      <c r="F52" s="40" t="s">
        <v>3810</v>
      </c>
      <c r="G52">
        <v>2007</v>
      </c>
      <c r="H52">
        <v>1702</v>
      </c>
      <c r="I52" s="40" t="s">
        <v>1005</v>
      </c>
      <c r="J52" s="40" t="s">
        <v>3811</v>
      </c>
      <c r="K52" s="40" t="s">
        <v>3812</v>
      </c>
      <c r="L52" s="39">
        <v>39461</v>
      </c>
      <c r="M52">
        <v>9</v>
      </c>
      <c r="N52">
        <v>0</v>
      </c>
      <c r="O52">
        <v>111</v>
      </c>
      <c r="P52" s="40" t="s">
        <v>1008</v>
      </c>
      <c r="Q52">
        <v>1</v>
      </c>
      <c r="R52">
        <v>1</v>
      </c>
      <c r="S52">
        <v>2</v>
      </c>
    </row>
    <row r="53" spans="1:19">
      <c r="A53" s="39">
        <v>39566</v>
      </c>
      <c r="B53">
        <v>1</v>
      </c>
      <c r="C53" s="40" t="s">
        <v>3813</v>
      </c>
      <c r="D53" s="40" t="s">
        <v>3814</v>
      </c>
      <c r="E53" s="40" t="s">
        <v>3815</v>
      </c>
      <c r="F53" s="40" t="s">
        <v>3816</v>
      </c>
      <c r="G53">
        <v>2007</v>
      </c>
      <c r="H53">
        <v>1702</v>
      </c>
      <c r="I53" s="40" t="s">
        <v>1005</v>
      </c>
      <c r="J53" s="40" t="s">
        <v>3817</v>
      </c>
      <c r="K53" s="40" t="s">
        <v>3818</v>
      </c>
      <c r="L53" s="39">
        <v>39456</v>
      </c>
      <c r="M53">
        <v>6</v>
      </c>
      <c r="N53">
        <v>3</v>
      </c>
      <c r="O53">
        <v>111</v>
      </c>
      <c r="P53" s="40" t="s">
        <v>1008</v>
      </c>
      <c r="Q53">
        <v>1</v>
      </c>
      <c r="R53">
        <v>1</v>
      </c>
      <c r="S53">
        <v>2</v>
      </c>
    </row>
    <row r="54" spans="1:19">
      <c r="A54" s="39">
        <v>39580</v>
      </c>
      <c r="B54">
        <v>1</v>
      </c>
      <c r="C54" s="40" t="s">
        <v>3819</v>
      </c>
      <c r="D54" s="40" t="s">
        <v>3820</v>
      </c>
      <c r="E54" s="40" t="s">
        <v>3821</v>
      </c>
      <c r="F54" s="40" t="s">
        <v>3822</v>
      </c>
      <c r="G54">
        <v>2007</v>
      </c>
      <c r="H54">
        <v>1702</v>
      </c>
      <c r="I54" s="40" t="s">
        <v>1005</v>
      </c>
      <c r="J54" s="40" t="s">
        <v>3823</v>
      </c>
      <c r="K54" s="40" t="s">
        <v>3824</v>
      </c>
      <c r="L54" s="39">
        <v>39455</v>
      </c>
      <c r="M54">
        <v>8</v>
      </c>
      <c r="N54">
        <v>0</v>
      </c>
      <c r="O54">
        <v>111</v>
      </c>
      <c r="P54" s="40" t="s">
        <v>1008</v>
      </c>
      <c r="Q54">
        <v>1</v>
      </c>
      <c r="R54">
        <v>1</v>
      </c>
      <c r="S54">
        <v>2</v>
      </c>
    </row>
    <row r="55" spans="1:19">
      <c r="A55" s="39">
        <v>39587</v>
      </c>
      <c r="B55">
        <v>1</v>
      </c>
      <c r="C55" s="40" t="s">
        <v>3825</v>
      </c>
      <c r="D55" s="40" t="s">
        <v>3826</v>
      </c>
      <c r="E55" s="40" t="s">
        <v>3827</v>
      </c>
      <c r="F55" s="40" t="s">
        <v>3828</v>
      </c>
      <c r="G55">
        <v>2007</v>
      </c>
      <c r="H55">
        <v>1702</v>
      </c>
      <c r="I55" s="40" t="s">
        <v>1005</v>
      </c>
      <c r="J55" s="40" t="s">
        <v>3829</v>
      </c>
      <c r="K55" s="40" t="s">
        <v>3830</v>
      </c>
      <c r="L55" s="39">
        <v>39532</v>
      </c>
      <c r="M55">
        <v>8</v>
      </c>
      <c r="N55">
        <v>1</v>
      </c>
      <c r="O55">
        <v>111</v>
      </c>
      <c r="P55" s="40" t="s">
        <v>1008</v>
      </c>
      <c r="Q55">
        <v>1</v>
      </c>
      <c r="R55">
        <v>1</v>
      </c>
      <c r="S55">
        <v>2</v>
      </c>
    </row>
    <row r="56" spans="1:19">
      <c r="A56" s="39">
        <v>39587</v>
      </c>
      <c r="B56">
        <v>1</v>
      </c>
      <c r="C56" s="40" t="s">
        <v>3831</v>
      </c>
      <c r="D56" s="40" t="s">
        <v>3832</v>
      </c>
      <c r="E56" s="40" t="s">
        <v>3833</v>
      </c>
      <c r="F56" s="40" t="s">
        <v>3834</v>
      </c>
      <c r="G56">
        <v>2007</v>
      </c>
      <c r="H56">
        <v>1702</v>
      </c>
      <c r="I56" s="40" t="s">
        <v>1005</v>
      </c>
      <c r="J56" s="40" t="s">
        <v>3835</v>
      </c>
      <c r="K56" s="40" t="s">
        <v>3836</v>
      </c>
      <c r="L56" s="39">
        <v>39385</v>
      </c>
      <c r="M56">
        <v>7</v>
      </c>
      <c r="N56">
        <v>2</v>
      </c>
      <c r="O56">
        <v>111</v>
      </c>
      <c r="P56" s="40" t="s">
        <v>1008</v>
      </c>
      <c r="Q56">
        <v>1</v>
      </c>
      <c r="R56">
        <v>1</v>
      </c>
      <c r="S56">
        <v>2</v>
      </c>
    </row>
    <row r="57" spans="1:19">
      <c r="A57" s="39">
        <v>39595</v>
      </c>
      <c r="B57">
        <v>1</v>
      </c>
      <c r="C57" s="40" t="s">
        <v>3837</v>
      </c>
      <c r="D57" s="40" t="s">
        <v>3838</v>
      </c>
      <c r="E57" s="40" t="s">
        <v>3839</v>
      </c>
      <c r="F57" s="40" t="s">
        <v>3840</v>
      </c>
      <c r="G57">
        <v>2007</v>
      </c>
      <c r="H57">
        <v>1702</v>
      </c>
      <c r="I57" s="40" t="s">
        <v>1005</v>
      </c>
      <c r="J57" s="40" t="s">
        <v>3841</v>
      </c>
      <c r="K57" s="40" t="s">
        <v>3842</v>
      </c>
      <c r="L57" s="39">
        <v>39531</v>
      </c>
      <c r="M57">
        <v>7</v>
      </c>
      <c r="N57">
        <v>2</v>
      </c>
      <c r="O57">
        <v>111</v>
      </c>
      <c r="P57" s="40" t="s">
        <v>1008</v>
      </c>
      <c r="Q57">
        <v>1</v>
      </c>
      <c r="R57">
        <v>1</v>
      </c>
      <c r="S57">
        <v>2</v>
      </c>
    </row>
    <row r="58" spans="1:19">
      <c r="A58" s="39">
        <v>39595</v>
      </c>
      <c r="B58">
        <v>1</v>
      </c>
      <c r="C58" s="40" t="s">
        <v>3843</v>
      </c>
      <c r="D58" s="40" t="s">
        <v>3844</v>
      </c>
      <c r="E58" s="40" t="s">
        <v>3845</v>
      </c>
      <c r="F58" s="40" t="s">
        <v>3846</v>
      </c>
      <c r="G58">
        <v>2007</v>
      </c>
      <c r="H58">
        <v>1702</v>
      </c>
      <c r="I58" s="40" t="s">
        <v>1005</v>
      </c>
      <c r="J58" s="40" t="s">
        <v>3847</v>
      </c>
      <c r="K58" s="40" t="s">
        <v>3848</v>
      </c>
      <c r="L58" s="39">
        <v>39534</v>
      </c>
      <c r="M58">
        <v>7</v>
      </c>
      <c r="N58">
        <v>2</v>
      </c>
      <c r="O58">
        <v>111</v>
      </c>
      <c r="P58" s="40" t="s">
        <v>1008</v>
      </c>
      <c r="Q58">
        <v>1</v>
      </c>
      <c r="R58">
        <v>1</v>
      </c>
      <c r="S58">
        <v>2</v>
      </c>
    </row>
    <row r="59" spans="1:19">
      <c r="A59" s="39">
        <v>39608</v>
      </c>
      <c r="B59">
        <v>1</v>
      </c>
      <c r="C59" s="40" t="s">
        <v>3849</v>
      </c>
      <c r="D59" s="40" t="s">
        <v>3850</v>
      </c>
      <c r="E59" s="40" t="s">
        <v>3851</v>
      </c>
      <c r="F59" s="40" t="s">
        <v>3852</v>
      </c>
      <c r="G59">
        <v>2007</v>
      </c>
      <c r="H59">
        <v>1702</v>
      </c>
      <c r="I59" s="40" t="s">
        <v>1005</v>
      </c>
      <c r="J59" s="40" t="s">
        <v>3853</v>
      </c>
      <c r="K59" s="40" t="s">
        <v>3854</v>
      </c>
      <c r="L59" s="39">
        <v>39559</v>
      </c>
      <c r="M59">
        <v>6</v>
      </c>
      <c r="N59">
        <v>3</v>
      </c>
      <c r="O59">
        <v>111</v>
      </c>
      <c r="P59" s="40" t="s">
        <v>1008</v>
      </c>
      <c r="Q59">
        <v>1</v>
      </c>
      <c r="R59">
        <v>1</v>
      </c>
      <c r="S59">
        <v>2</v>
      </c>
    </row>
    <row r="60" spans="1:19">
      <c r="A60" s="39">
        <v>39608</v>
      </c>
      <c r="B60">
        <v>1</v>
      </c>
      <c r="C60" s="40" t="s">
        <v>3855</v>
      </c>
      <c r="D60" s="40" t="s">
        <v>3856</v>
      </c>
      <c r="E60" s="40" t="s">
        <v>3857</v>
      </c>
      <c r="F60" s="40" t="s">
        <v>3858</v>
      </c>
      <c r="G60">
        <v>2007</v>
      </c>
      <c r="H60">
        <v>1702</v>
      </c>
      <c r="I60" s="40" t="s">
        <v>1005</v>
      </c>
      <c r="J60" s="40" t="s">
        <v>3859</v>
      </c>
      <c r="K60" s="40" t="s">
        <v>3860</v>
      </c>
      <c r="L60" s="39">
        <v>39463</v>
      </c>
      <c r="M60">
        <v>9</v>
      </c>
      <c r="N60">
        <v>0</v>
      </c>
      <c r="O60">
        <v>111</v>
      </c>
      <c r="P60" s="40" t="s">
        <v>1008</v>
      </c>
      <c r="Q60">
        <v>1</v>
      </c>
      <c r="R60">
        <v>1</v>
      </c>
      <c r="S60">
        <v>2</v>
      </c>
    </row>
    <row r="61" spans="1:19">
      <c r="A61" s="39">
        <v>39608</v>
      </c>
      <c r="B61">
        <v>1</v>
      </c>
      <c r="C61" s="40" t="s">
        <v>3861</v>
      </c>
      <c r="D61" s="40" t="s">
        <v>3862</v>
      </c>
      <c r="E61" s="40" t="s">
        <v>3863</v>
      </c>
      <c r="F61" s="40" t="s">
        <v>3864</v>
      </c>
      <c r="G61">
        <v>2007</v>
      </c>
      <c r="H61">
        <v>1702</v>
      </c>
      <c r="I61" s="40" t="s">
        <v>1005</v>
      </c>
      <c r="J61" s="40" t="s">
        <v>3865</v>
      </c>
      <c r="K61" s="40" t="s">
        <v>3866</v>
      </c>
      <c r="L61" s="39">
        <v>39552</v>
      </c>
      <c r="M61">
        <v>9</v>
      </c>
      <c r="N61">
        <v>0</v>
      </c>
      <c r="O61">
        <v>111</v>
      </c>
      <c r="P61" s="40" t="s">
        <v>1008</v>
      </c>
      <c r="Q61">
        <v>1</v>
      </c>
      <c r="R61">
        <v>1</v>
      </c>
      <c r="S61">
        <v>2</v>
      </c>
    </row>
    <row r="62" spans="1:19">
      <c r="A62" s="39">
        <v>39611</v>
      </c>
      <c r="B62">
        <v>1</v>
      </c>
      <c r="D62" s="40" t="s">
        <v>3867</v>
      </c>
      <c r="E62" s="40" t="s">
        <v>3868</v>
      </c>
      <c r="F62" s="40" t="s">
        <v>3869</v>
      </c>
      <c r="G62">
        <v>2007</v>
      </c>
      <c r="H62">
        <v>1702</v>
      </c>
      <c r="I62" s="40" t="s">
        <v>1005</v>
      </c>
      <c r="J62" s="40" t="s">
        <v>3870</v>
      </c>
      <c r="K62" s="40" t="s">
        <v>3871</v>
      </c>
      <c r="L62" s="39">
        <v>39532</v>
      </c>
      <c r="M62">
        <v>9</v>
      </c>
      <c r="N62">
        <v>0</v>
      </c>
      <c r="O62">
        <v>111</v>
      </c>
      <c r="P62" s="40" t="s">
        <v>1008</v>
      </c>
      <c r="Q62">
        <v>1</v>
      </c>
      <c r="R62">
        <v>1</v>
      </c>
      <c r="S62">
        <v>2</v>
      </c>
    </row>
    <row r="63" spans="1:19">
      <c r="A63" s="39">
        <v>39611</v>
      </c>
      <c r="B63">
        <v>1</v>
      </c>
      <c r="C63" s="40" t="s">
        <v>3872</v>
      </c>
      <c r="D63" s="40" t="s">
        <v>3873</v>
      </c>
      <c r="E63" s="40" t="s">
        <v>3874</v>
      </c>
      <c r="F63" s="40" t="s">
        <v>3875</v>
      </c>
      <c r="G63">
        <v>2007</v>
      </c>
      <c r="H63">
        <v>1702</v>
      </c>
      <c r="I63" s="40" t="s">
        <v>1005</v>
      </c>
      <c r="J63" s="40" t="s">
        <v>3876</v>
      </c>
      <c r="K63" s="40" t="s">
        <v>3877</v>
      </c>
      <c r="L63" s="39">
        <v>39553</v>
      </c>
      <c r="M63">
        <v>5</v>
      </c>
      <c r="N63">
        <v>4</v>
      </c>
      <c r="O63">
        <v>111</v>
      </c>
      <c r="P63" s="40" t="s">
        <v>1008</v>
      </c>
      <c r="Q63">
        <v>1</v>
      </c>
      <c r="R63">
        <v>1</v>
      </c>
      <c r="S63">
        <v>2</v>
      </c>
    </row>
    <row r="64" spans="1:19">
      <c r="A64" s="39">
        <v>39611</v>
      </c>
      <c r="B64">
        <v>1</v>
      </c>
      <c r="D64" s="40" t="s">
        <v>3878</v>
      </c>
      <c r="E64" s="40" t="s">
        <v>3879</v>
      </c>
      <c r="F64" s="40" t="s">
        <v>3880</v>
      </c>
      <c r="G64">
        <v>2007</v>
      </c>
      <c r="H64">
        <v>1702</v>
      </c>
      <c r="I64" s="40" t="s">
        <v>1005</v>
      </c>
      <c r="J64" s="40" t="s">
        <v>3881</v>
      </c>
      <c r="K64" s="40" t="s">
        <v>3882</v>
      </c>
      <c r="L64" s="39">
        <v>39421</v>
      </c>
      <c r="M64">
        <v>5</v>
      </c>
      <c r="N64">
        <v>4</v>
      </c>
      <c r="O64">
        <v>111</v>
      </c>
      <c r="P64" s="40" t="s">
        <v>1008</v>
      </c>
      <c r="Q64">
        <v>2</v>
      </c>
      <c r="R64">
        <v>1</v>
      </c>
      <c r="S64">
        <v>1</v>
      </c>
    </row>
    <row r="65" spans="1:19">
      <c r="A65" s="39">
        <v>39611</v>
      </c>
      <c r="B65">
        <v>1</v>
      </c>
      <c r="C65" s="40" t="s">
        <v>3883</v>
      </c>
      <c r="D65" s="40" t="s">
        <v>3884</v>
      </c>
      <c r="E65" s="40" t="s">
        <v>3885</v>
      </c>
      <c r="F65" s="40" t="s">
        <v>3886</v>
      </c>
      <c r="G65">
        <v>2007</v>
      </c>
      <c r="H65">
        <v>1702</v>
      </c>
      <c r="I65" s="40" t="s">
        <v>1005</v>
      </c>
      <c r="J65" s="40" t="s">
        <v>3887</v>
      </c>
      <c r="K65" s="40" t="s">
        <v>3888</v>
      </c>
      <c r="L65" s="39">
        <v>39524</v>
      </c>
      <c r="M65">
        <v>7</v>
      </c>
      <c r="N65">
        <v>2</v>
      </c>
      <c r="O65">
        <v>111</v>
      </c>
      <c r="P65" s="40" t="s">
        <v>1008</v>
      </c>
      <c r="Q65">
        <v>1</v>
      </c>
      <c r="R65">
        <v>1</v>
      </c>
      <c r="S65">
        <v>2</v>
      </c>
    </row>
    <row r="66" spans="1:19">
      <c r="A66" s="39">
        <v>39611</v>
      </c>
      <c r="B66">
        <v>1</v>
      </c>
      <c r="C66" s="40" t="s">
        <v>3889</v>
      </c>
      <c r="D66" s="40" t="s">
        <v>3890</v>
      </c>
      <c r="E66" s="40" t="s">
        <v>3891</v>
      </c>
      <c r="F66" s="40" t="s">
        <v>3892</v>
      </c>
      <c r="G66">
        <v>2007</v>
      </c>
      <c r="H66">
        <v>1702</v>
      </c>
      <c r="I66" s="40" t="s">
        <v>1005</v>
      </c>
      <c r="J66" s="40" t="s">
        <v>3893</v>
      </c>
      <c r="K66" s="40" t="s">
        <v>3894</v>
      </c>
      <c r="L66" s="39">
        <v>39554</v>
      </c>
      <c r="M66">
        <v>9</v>
      </c>
      <c r="N66">
        <v>0</v>
      </c>
      <c r="O66">
        <v>111</v>
      </c>
      <c r="P66" s="40" t="s">
        <v>1008</v>
      </c>
      <c r="Q66">
        <v>1</v>
      </c>
      <c r="R66">
        <v>1</v>
      </c>
      <c r="S66">
        <v>2</v>
      </c>
    </row>
    <row r="67" spans="1:19">
      <c r="A67" s="39">
        <v>39615</v>
      </c>
      <c r="B67">
        <v>1</v>
      </c>
      <c r="C67" s="40" t="s">
        <v>3895</v>
      </c>
      <c r="D67" s="40" t="s">
        <v>3896</v>
      </c>
      <c r="E67" s="40" t="s">
        <v>3897</v>
      </c>
      <c r="F67" s="40" t="s">
        <v>3898</v>
      </c>
      <c r="G67">
        <v>2007</v>
      </c>
      <c r="H67">
        <v>1702</v>
      </c>
      <c r="I67" s="40" t="s">
        <v>1005</v>
      </c>
      <c r="J67" s="40" t="s">
        <v>3899</v>
      </c>
      <c r="K67" s="40" t="s">
        <v>3900</v>
      </c>
      <c r="L67" s="39">
        <v>39533</v>
      </c>
      <c r="M67">
        <v>7</v>
      </c>
      <c r="N67">
        <v>2</v>
      </c>
      <c r="O67">
        <v>111</v>
      </c>
      <c r="P67" s="40" t="s">
        <v>1008</v>
      </c>
      <c r="Q67">
        <v>1</v>
      </c>
      <c r="R67">
        <v>1</v>
      </c>
      <c r="S67">
        <v>2</v>
      </c>
    </row>
    <row r="68" spans="1:19">
      <c r="A68" s="39">
        <v>39618</v>
      </c>
      <c r="B68">
        <v>1</v>
      </c>
      <c r="C68" s="40" t="s">
        <v>3901</v>
      </c>
      <c r="D68" s="40" t="s">
        <v>3902</v>
      </c>
      <c r="E68" s="40" t="s">
        <v>3903</v>
      </c>
      <c r="F68" s="40" t="s">
        <v>3904</v>
      </c>
      <c r="G68">
        <v>2007</v>
      </c>
      <c r="H68">
        <v>1702</v>
      </c>
      <c r="I68" s="40" t="s">
        <v>1005</v>
      </c>
      <c r="J68" s="40" t="s">
        <v>3905</v>
      </c>
      <c r="K68" s="40" t="s">
        <v>3906</v>
      </c>
      <c r="L68" s="39">
        <v>39526</v>
      </c>
      <c r="M68">
        <v>7</v>
      </c>
      <c r="N68">
        <v>2</v>
      </c>
      <c r="O68">
        <v>111</v>
      </c>
      <c r="P68" s="40" t="s">
        <v>1008</v>
      </c>
      <c r="Q68">
        <v>1</v>
      </c>
      <c r="R68">
        <v>1</v>
      </c>
      <c r="S68">
        <v>2</v>
      </c>
    </row>
    <row r="69" spans="1:19">
      <c r="A69" s="39">
        <v>39618</v>
      </c>
      <c r="B69">
        <v>1</v>
      </c>
      <c r="C69" s="40" t="s">
        <v>3907</v>
      </c>
      <c r="D69" s="40" t="s">
        <v>3908</v>
      </c>
      <c r="E69" s="40" t="s">
        <v>3909</v>
      </c>
      <c r="F69" s="40" t="s">
        <v>3910</v>
      </c>
      <c r="G69">
        <v>2007</v>
      </c>
      <c r="H69">
        <v>1702</v>
      </c>
      <c r="I69" s="40" t="s">
        <v>1005</v>
      </c>
      <c r="J69" s="40" t="s">
        <v>3911</v>
      </c>
      <c r="K69" s="40" t="s">
        <v>3912</v>
      </c>
      <c r="L69" s="39">
        <v>39561</v>
      </c>
      <c r="M69">
        <v>7</v>
      </c>
      <c r="N69">
        <v>1</v>
      </c>
      <c r="O69">
        <v>111</v>
      </c>
      <c r="P69" s="40" t="s">
        <v>1008</v>
      </c>
      <c r="Q69">
        <v>1</v>
      </c>
      <c r="R69">
        <v>1</v>
      </c>
      <c r="S69">
        <v>2</v>
      </c>
    </row>
    <row r="70" spans="1:19">
      <c r="A70" s="39">
        <v>39618</v>
      </c>
      <c r="B70">
        <v>1</v>
      </c>
      <c r="C70" s="40" t="s">
        <v>3913</v>
      </c>
      <c r="D70" s="40" t="s">
        <v>3914</v>
      </c>
      <c r="E70" s="40" t="s">
        <v>3915</v>
      </c>
      <c r="F70" s="40" t="s">
        <v>3916</v>
      </c>
      <c r="G70">
        <v>2007</v>
      </c>
      <c r="H70">
        <v>1702</v>
      </c>
      <c r="I70" s="40" t="s">
        <v>1005</v>
      </c>
      <c r="J70" s="40" t="s">
        <v>3917</v>
      </c>
      <c r="K70" s="40" t="s">
        <v>3918</v>
      </c>
      <c r="L70" s="39">
        <v>39561</v>
      </c>
      <c r="M70">
        <v>6</v>
      </c>
      <c r="N70">
        <v>3</v>
      </c>
      <c r="O70">
        <v>111</v>
      </c>
      <c r="P70" s="40" t="s">
        <v>1008</v>
      </c>
      <c r="Q70">
        <v>1</v>
      </c>
      <c r="R70">
        <v>1</v>
      </c>
      <c r="S70">
        <v>2</v>
      </c>
    </row>
    <row r="71" spans="1:19">
      <c r="A71" s="39">
        <v>39618</v>
      </c>
      <c r="B71">
        <v>1</v>
      </c>
      <c r="C71" s="40" t="s">
        <v>3919</v>
      </c>
      <c r="D71" s="40" t="s">
        <v>3920</v>
      </c>
      <c r="E71" s="40" t="s">
        <v>3921</v>
      </c>
      <c r="F71" s="40" t="s">
        <v>3922</v>
      </c>
      <c r="G71">
        <v>2007</v>
      </c>
      <c r="H71">
        <v>1702</v>
      </c>
      <c r="I71" s="40" t="s">
        <v>1005</v>
      </c>
      <c r="J71" s="40" t="s">
        <v>3923</v>
      </c>
      <c r="K71" s="40" t="s">
        <v>3924</v>
      </c>
      <c r="L71" s="39">
        <v>39456</v>
      </c>
      <c r="M71">
        <v>5</v>
      </c>
      <c r="N71">
        <v>4</v>
      </c>
      <c r="O71">
        <v>111</v>
      </c>
      <c r="P71" s="40" t="s">
        <v>1008</v>
      </c>
      <c r="Q71">
        <v>2</v>
      </c>
      <c r="R71">
        <v>1</v>
      </c>
      <c r="S71">
        <v>1</v>
      </c>
    </row>
    <row r="72" spans="1:19">
      <c r="A72" s="39">
        <v>39618</v>
      </c>
      <c r="B72">
        <v>1</v>
      </c>
      <c r="C72" s="40" t="s">
        <v>3925</v>
      </c>
      <c r="D72" s="40" t="s">
        <v>3926</v>
      </c>
      <c r="E72" s="40" t="s">
        <v>3927</v>
      </c>
      <c r="F72" s="40" t="s">
        <v>3928</v>
      </c>
      <c r="G72">
        <v>2007</v>
      </c>
      <c r="H72">
        <v>1702</v>
      </c>
      <c r="I72" s="40" t="s">
        <v>1005</v>
      </c>
      <c r="J72" s="40" t="s">
        <v>3929</v>
      </c>
      <c r="K72" s="40" t="s">
        <v>3930</v>
      </c>
      <c r="L72" s="39">
        <v>39533</v>
      </c>
      <c r="M72">
        <v>7</v>
      </c>
      <c r="N72">
        <v>2</v>
      </c>
      <c r="O72">
        <v>111</v>
      </c>
      <c r="P72" s="40" t="s">
        <v>1008</v>
      </c>
      <c r="Q72">
        <v>1</v>
      </c>
      <c r="R72">
        <v>1</v>
      </c>
      <c r="S72">
        <v>2</v>
      </c>
    </row>
    <row r="73" spans="1:19">
      <c r="A73" s="39">
        <v>39622</v>
      </c>
      <c r="B73">
        <v>1</v>
      </c>
      <c r="C73" s="40" t="s">
        <v>3931</v>
      </c>
      <c r="D73" s="40" t="s">
        <v>3932</v>
      </c>
      <c r="E73" s="40" t="s">
        <v>3933</v>
      </c>
      <c r="F73" s="40" t="s">
        <v>3934</v>
      </c>
      <c r="G73">
        <v>2007</v>
      </c>
      <c r="H73">
        <v>1702</v>
      </c>
      <c r="I73" s="40" t="s">
        <v>1005</v>
      </c>
      <c r="J73" s="40" t="s">
        <v>3935</v>
      </c>
      <c r="K73" s="40" t="s">
        <v>3936</v>
      </c>
      <c r="L73" s="39">
        <v>39559</v>
      </c>
      <c r="M73">
        <v>5</v>
      </c>
      <c r="N73">
        <v>4</v>
      </c>
      <c r="O73">
        <v>111</v>
      </c>
      <c r="P73" s="40" t="s">
        <v>1008</v>
      </c>
      <c r="Q73">
        <v>2</v>
      </c>
      <c r="R73">
        <v>1</v>
      </c>
      <c r="S73">
        <v>1</v>
      </c>
    </row>
    <row r="74" spans="1:19">
      <c r="A74" s="39">
        <v>39624</v>
      </c>
      <c r="B74">
        <v>1</v>
      </c>
      <c r="D74" s="40" t="s">
        <v>3937</v>
      </c>
      <c r="E74" s="40" t="s">
        <v>3938</v>
      </c>
      <c r="F74" s="40" t="s">
        <v>3939</v>
      </c>
      <c r="G74">
        <v>2007</v>
      </c>
      <c r="H74">
        <v>1702</v>
      </c>
      <c r="I74" s="40" t="s">
        <v>1005</v>
      </c>
      <c r="J74" s="40" t="s">
        <v>3940</v>
      </c>
      <c r="K74" s="40" t="s">
        <v>3941</v>
      </c>
      <c r="L74" s="39">
        <v>39552</v>
      </c>
      <c r="M74">
        <v>5</v>
      </c>
      <c r="N74">
        <v>4</v>
      </c>
      <c r="O74">
        <v>111</v>
      </c>
      <c r="P74" s="40" t="s">
        <v>1008</v>
      </c>
      <c r="Q74">
        <v>1</v>
      </c>
      <c r="R74">
        <v>1</v>
      </c>
      <c r="S74">
        <v>2</v>
      </c>
    </row>
    <row r="75" spans="1:19">
      <c r="A75" s="39">
        <v>39625</v>
      </c>
      <c r="B75">
        <v>1</v>
      </c>
      <c r="C75" s="40" t="s">
        <v>3942</v>
      </c>
      <c r="D75" s="40" t="s">
        <v>3943</v>
      </c>
      <c r="E75" s="40" t="s">
        <v>3944</v>
      </c>
      <c r="F75" s="40" t="s">
        <v>3945</v>
      </c>
      <c r="G75">
        <v>2007</v>
      </c>
      <c r="H75">
        <v>1702</v>
      </c>
      <c r="I75" s="40" t="s">
        <v>1005</v>
      </c>
      <c r="J75" s="40" t="s">
        <v>3946</v>
      </c>
      <c r="K75" s="40" t="s">
        <v>3947</v>
      </c>
      <c r="L75" s="39">
        <v>39497</v>
      </c>
      <c r="M75">
        <v>5</v>
      </c>
      <c r="N75">
        <v>2</v>
      </c>
      <c r="O75">
        <v>111</v>
      </c>
      <c r="P75" s="40" t="s">
        <v>1008</v>
      </c>
      <c r="Q75">
        <v>1</v>
      </c>
      <c r="R75">
        <v>1</v>
      </c>
      <c r="S75">
        <v>2</v>
      </c>
    </row>
    <row r="76" spans="1:19">
      <c r="A76" s="39">
        <v>39625</v>
      </c>
      <c r="B76">
        <v>1</v>
      </c>
      <c r="D76" s="40" t="s">
        <v>3948</v>
      </c>
      <c r="E76" s="40" t="s">
        <v>3949</v>
      </c>
      <c r="F76" s="40" t="s">
        <v>3950</v>
      </c>
      <c r="G76">
        <v>2007</v>
      </c>
      <c r="H76">
        <v>1702</v>
      </c>
      <c r="I76" s="40" t="s">
        <v>1005</v>
      </c>
      <c r="J76" s="40" t="s">
        <v>3951</v>
      </c>
      <c r="K76" s="40" t="s">
        <v>3952</v>
      </c>
      <c r="L76" s="39">
        <v>39525</v>
      </c>
      <c r="M76">
        <v>5</v>
      </c>
      <c r="N76">
        <v>4</v>
      </c>
      <c r="O76">
        <v>111</v>
      </c>
      <c r="P76" s="40" t="s">
        <v>1008</v>
      </c>
      <c r="Q76">
        <v>1</v>
      </c>
      <c r="R76">
        <v>1</v>
      </c>
      <c r="S76">
        <v>2</v>
      </c>
    </row>
    <row r="77" spans="1:19">
      <c r="A77" s="39"/>
      <c r="D77" s="40"/>
      <c r="E77" s="40"/>
      <c r="F77" s="40"/>
      <c r="I77" s="40"/>
      <c r="J77" s="40"/>
      <c r="K77" s="40"/>
      <c r="L77" s="39"/>
      <c r="P77" s="40"/>
    </row>
    <row r="78" spans="1:19">
      <c r="A78" s="39"/>
      <c r="D78" s="40"/>
      <c r="E78" s="40"/>
      <c r="F78" s="40"/>
      <c r="I78" s="40"/>
      <c r="J78" s="40"/>
      <c r="K78" s="40"/>
      <c r="L78" s="39"/>
      <c r="P78" s="40"/>
    </row>
    <row r="79" spans="1:19">
      <c r="A79" s="39">
        <v>39391</v>
      </c>
      <c r="B79">
        <v>2</v>
      </c>
      <c r="C79" s="40" t="s">
        <v>3953</v>
      </c>
      <c r="D79" s="40" t="s">
        <v>3954</v>
      </c>
      <c r="E79" s="40" t="s">
        <v>3955</v>
      </c>
      <c r="F79" s="40" t="s">
        <v>3956</v>
      </c>
      <c r="G79">
        <v>2007</v>
      </c>
      <c r="H79">
        <v>1702</v>
      </c>
      <c r="I79" s="40" t="s">
        <v>1005</v>
      </c>
      <c r="J79" s="40" t="s">
        <v>3957</v>
      </c>
      <c r="K79" s="40" t="s">
        <v>3958</v>
      </c>
      <c r="M79">
        <v>7</v>
      </c>
      <c r="N79">
        <v>2</v>
      </c>
      <c r="O79">
        <v>111</v>
      </c>
      <c r="P79" s="40" t="s">
        <v>1008</v>
      </c>
      <c r="Q79">
        <v>1</v>
      </c>
      <c r="R79">
        <v>1</v>
      </c>
      <c r="S79">
        <v>2</v>
      </c>
    </row>
    <row r="80" spans="1:19">
      <c r="A80" s="39">
        <v>39454</v>
      </c>
      <c r="B80">
        <v>2</v>
      </c>
      <c r="C80" s="40" t="s">
        <v>3959</v>
      </c>
      <c r="D80" s="40" t="s">
        <v>3960</v>
      </c>
      <c r="E80" s="40" t="s">
        <v>3961</v>
      </c>
      <c r="F80" s="40" t="s">
        <v>3962</v>
      </c>
      <c r="G80">
        <v>2007</v>
      </c>
      <c r="H80">
        <v>1702</v>
      </c>
      <c r="I80" s="40" t="s">
        <v>1005</v>
      </c>
      <c r="J80" s="40" t="s">
        <v>3963</v>
      </c>
      <c r="K80" s="40" t="s">
        <v>3964</v>
      </c>
      <c r="M80">
        <v>9</v>
      </c>
      <c r="N80">
        <v>0</v>
      </c>
      <c r="O80">
        <v>111</v>
      </c>
      <c r="P80" s="40" t="s">
        <v>1008</v>
      </c>
      <c r="Q80">
        <v>1</v>
      </c>
      <c r="R80">
        <v>1</v>
      </c>
      <c r="S80">
        <v>2</v>
      </c>
    </row>
    <row r="81" spans="1:19">
      <c r="A81" s="39">
        <v>39454</v>
      </c>
      <c r="B81">
        <v>2</v>
      </c>
      <c r="C81" s="40" t="s">
        <v>3965</v>
      </c>
      <c r="D81" s="40" t="s">
        <v>3966</v>
      </c>
      <c r="E81" s="40" t="s">
        <v>3967</v>
      </c>
      <c r="F81" s="40" t="s">
        <v>3968</v>
      </c>
      <c r="G81">
        <v>2007</v>
      </c>
      <c r="H81">
        <v>1702</v>
      </c>
      <c r="I81" s="40" t="s">
        <v>1005</v>
      </c>
      <c r="J81" s="40" t="s">
        <v>3969</v>
      </c>
      <c r="K81" s="40" t="s">
        <v>3970</v>
      </c>
      <c r="M81">
        <v>9</v>
      </c>
      <c r="N81">
        <v>0</v>
      </c>
      <c r="O81">
        <v>111</v>
      </c>
      <c r="P81" s="40" t="s">
        <v>1008</v>
      </c>
      <c r="Q81">
        <v>1</v>
      </c>
      <c r="R81">
        <v>1</v>
      </c>
      <c r="S81">
        <v>2</v>
      </c>
    </row>
    <row r="82" spans="1:19">
      <c r="A82" s="39">
        <v>39665</v>
      </c>
      <c r="B82">
        <v>2</v>
      </c>
      <c r="D82" s="40" t="s">
        <v>3971</v>
      </c>
      <c r="E82" s="40" t="s">
        <v>3972</v>
      </c>
      <c r="F82" s="40" t="s">
        <v>3973</v>
      </c>
      <c r="G82">
        <v>2007</v>
      </c>
      <c r="H82">
        <v>1702</v>
      </c>
      <c r="I82" s="40" t="s">
        <v>1005</v>
      </c>
      <c r="J82" s="40" t="s">
        <v>3781</v>
      </c>
      <c r="K82" s="40" t="s">
        <v>3974</v>
      </c>
      <c r="M82">
        <v>5</v>
      </c>
      <c r="N82">
        <v>4</v>
      </c>
      <c r="O82">
        <v>111</v>
      </c>
      <c r="P82" s="40" t="s">
        <v>1008</v>
      </c>
      <c r="Q82">
        <v>1</v>
      </c>
      <c r="R82">
        <v>1</v>
      </c>
      <c r="S82">
        <v>2</v>
      </c>
    </row>
    <row r="83" spans="1:19">
      <c r="A83" s="39">
        <v>39365</v>
      </c>
      <c r="B83">
        <v>5</v>
      </c>
      <c r="C83" s="40" t="s">
        <v>3975</v>
      </c>
      <c r="D83" s="40" t="s">
        <v>3976</v>
      </c>
      <c r="E83" s="40" t="s">
        <v>3977</v>
      </c>
      <c r="F83" s="40" t="s">
        <v>3978</v>
      </c>
      <c r="G83">
        <v>2007</v>
      </c>
      <c r="H83">
        <v>1702</v>
      </c>
      <c r="I83" s="40" t="s">
        <v>1005</v>
      </c>
      <c r="J83" s="40" t="s">
        <v>3979</v>
      </c>
      <c r="K83" s="40" t="s">
        <v>3980</v>
      </c>
      <c r="L83" s="39">
        <v>39356</v>
      </c>
      <c r="M83">
        <v>4</v>
      </c>
      <c r="N83">
        <v>4</v>
      </c>
      <c r="O83">
        <v>111</v>
      </c>
      <c r="P83" s="40" t="s">
        <v>1008</v>
      </c>
      <c r="Q83">
        <v>8</v>
      </c>
      <c r="R83">
        <v>1</v>
      </c>
    </row>
    <row r="84" spans="1:19">
      <c r="A84" s="39">
        <v>39510</v>
      </c>
      <c r="B84">
        <v>5</v>
      </c>
      <c r="C84" s="40" t="s">
        <v>3981</v>
      </c>
      <c r="D84" s="40" t="s">
        <v>3766</v>
      </c>
      <c r="E84" s="40" t="s">
        <v>3982</v>
      </c>
      <c r="F84" s="40" t="s">
        <v>3983</v>
      </c>
      <c r="G84">
        <v>2007</v>
      </c>
      <c r="H84">
        <v>1702</v>
      </c>
      <c r="I84" s="40" t="s">
        <v>1005</v>
      </c>
      <c r="J84" s="40" t="s">
        <v>3984</v>
      </c>
      <c r="K84" s="40" t="s">
        <v>3985</v>
      </c>
      <c r="L84" s="39">
        <v>39480</v>
      </c>
      <c r="M84">
        <v>4</v>
      </c>
      <c r="N84">
        <v>4</v>
      </c>
      <c r="O84">
        <v>111</v>
      </c>
      <c r="P84" s="40" t="s">
        <v>1008</v>
      </c>
      <c r="Q84">
        <v>8</v>
      </c>
      <c r="R84">
        <v>1</v>
      </c>
    </row>
    <row r="88" spans="1:19" s="13" customFormat="1" ht="42">
      <c r="A88" s="73" t="s">
        <v>35</v>
      </c>
      <c r="B88" s="73" t="s">
        <v>36</v>
      </c>
      <c r="C88" s="73" t="s">
        <v>37</v>
      </c>
      <c r="D88" s="73" t="s">
        <v>38</v>
      </c>
      <c r="E88" s="73" t="s">
        <v>39</v>
      </c>
      <c r="F88" s="73" t="s">
        <v>40</v>
      </c>
      <c r="G88" s="73" t="s">
        <v>41</v>
      </c>
      <c r="H88" s="73" t="s">
        <v>42</v>
      </c>
      <c r="I88" s="73" t="s">
        <v>1466</v>
      </c>
    </row>
    <row r="89" spans="1:19" s="13" customFormat="1" ht="12.75" customHeight="1">
      <c r="A89" s="74">
        <v>4</v>
      </c>
      <c r="B89" s="75" t="s">
        <v>3986</v>
      </c>
      <c r="C89" s="59" t="s">
        <v>3987</v>
      </c>
      <c r="F89" s="13" t="s">
        <v>1010</v>
      </c>
      <c r="G89" s="13" t="s">
        <v>1514</v>
      </c>
      <c r="H89" s="13" t="s">
        <v>1517</v>
      </c>
      <c r="I89" s="13" t="s">
        <v>1009</v>
      </c>
    </row>
    <row r="90" spans="1:19" s="13" customFormat="1" ht="12.75" customHeight="1">
      <c r="A90" s="74">
        <v>15</v>
      </c>
      <c r="B90" s="75" t="s">
        <v>3988</v>
      </c>
      <c r="C90" s="59" t="s">
        <v>3989</v>
      </c>
      <c r="F90" s="13" t="s">
        <v>1010</v>
      </c>
      <c r="G90" s="13" t="s">
        <v>1514</v>
      </c>
      <c r="H90" s="13" t="s">
        <v>1469</v>
      </c>
      <c r="I90" s="13" t="s">
        <v>1009</v>
      </c>
    </row>
    <row r="91" spans="1:19" s="13" customFormat="1" ht="12.75" customHeight="1">
      <c r="A91" s="74">
        <v>26</v>
      </c>
      <c r="B91" s="75" t="s">
        <v>3990</v>
      </c>
      <c r="C91" s="59" t="s">
        <v>3991</v>
      </c>
      <c r="F91" s="13" t="s">
        <v>1010</v>
      </c>
      <c r="G91" s="13" t="s">
        <v>1524</v>
      </c>
      <c r="H91" s="13" t="s">
        <v>1527</v>
      </c>
      <c r="I91" s="13" t="s">
        <v>1009</v>
      </c>
    </row>
    <row r="92" spans="1:19" s="13" customFormat="1" ht="12.75" customHeight="1">
      <c r="A92" s="74">
        <v>68</v>
      </c>
      <c r="B92" s="75" t="s">
        <v>3992</v>
      </c>
      <c r="C92" s="59" t="s">
        <v>3993</v>
      </c>
      <c r="F92" s="13" t="s">
        <v>1010</v>
      </c>
      <c r="G92" s="13" t="s">
        <v>1514</v>
      </c>
      <c r="H92" s="13" t="s">
        <v>1514</v>
      </c>
      <c r="I92" s="13" t="s">
        <v>1009</v>
      </c>
    </row>
    <row r="93" spans="1:19" s="13" customFormat="1" ht="12.75" customHeight="1">
      <c r="A93" s="74">
        <v>69</v>
      </c>
      <c r="B93" s="75" t="s">
        <v>3994</v>
      </c>
      <c r="C93" s="59" t="s">
        <v>3995</v>
      </c>
      <c r="F93" s="13" t="s">
        <v>1010</v>
      </c>
      <c r="G93" s="13" t="s">
        <v>1514</v>
      </c>
      <c r="H93" s="13" t="s">
        <v>1514</v>
      </c>
      <c r="I93" s="13" t="s">
        <v>1009</v>
      </c>
    </row>
    <row r="94" spans="1:19" s="13" customFormat="1" ht="12.75" customHeight="1">
      <c r="A94" s="74">
        <v>70</v>
      </c>
      <c r="B94" s="75" t="s">
        <v>3996</v>
      </c>
      <c r="C94" s="59" t="s">
        <v>3997</v>
      </c>
      <c r="F94" s="13" t="s">
        <v>1010</v>
      </c>
      <c r="G94" s="13" t="s">
        <v>1514</v>
      </c>
      <c r="H94" s="13" t="s">
        <v>1514</v>
      </c>
      <c r="I94" s="13" t="s">
        <v>1009</v>
      </c>
    </row>
    <row r="95" spans="1:19" s="13" customFormat="1" ht="12.75" customHeight="1">
      <c r="A95" s="74">
        <v>71</v>
      </c>
      <c r="B95" s="75" t="s">
        <v>3998</v>
      </c>
      <c r="C95" s="59" t="s">
        <v>3999</v>
      </c>
      <c r="F95" s="13" t="s">
        <v>1010</v>
      </c>
      <c r="G95" s="13" t="s">
        <v>1514</v>
      </c>
      <c r="H95" s="13" t="s">
        <v>1470</v>
      </c>
      <c r="I95" s="13" t="s">
        <v>1009</v>
      </c>
    </row>
    <row r="96" spans="1:19" s="13" customFormat="1" ht="12.75" customHeight="1">
      <c r="A96" s="74">
        <v>73</v>
      </c>
      <c r="B96" s="75" t="s">
        <v>4000</v>
      </c>
      <c r="C96" s="59" t="s">
        <v>4001</v>
      </c>
      <c r="F96" s="13" t="s">
        <v>1010</v>
      </c>
      <c r="G96" s="13" t="s">
        <v>1524</v>
      </c>
      <c r="H96" s="13" t="s">
        <v>1514</v>
      </c>
      <c r="I96" s="13" t="s">
        <v>1009</v>
      </c>
    </row>
    <row r="97" spans="1:9" s="13" customFormat="1" ht="12.75" customHeight="1">
      <c r="A97" s="74">
        <v>74</v>
      </c>
      <c r="B97" s="75" t="s">
        <v>4002</v>
      </c>
      <c r="C97" s="59" t="s">
        <v>4003</v>
      </c>
      <c r="F97" s="13" t="s">
        <v>1010</v>
      </c>
      <c r="G97" s="13" t="s">
        <v>1524</v>
      </c>
      <c r="H97" s="13" t="s">
        <v>1527</v>
      </c>
      <c r="I97" s="13" t="s">
        <v>1009</v>
      </c>
    </row>
    <row r="98" spans="1:9" s="13" customFormat="1" ht="12.75" customHeight="1">
      <c r="A98" s="74">
        <v>76</v>
      </c>
      <c r="B98" s="75" t="s">
        <v>4004</v>
      </c>
      <c r="C98" s="59" t="s">
        <v>4005</v>
      </c>
      <c r="F98" s="13" t="s">
        <v>1010</v>
      </c>
      <c r="G98" s="13" t="s">
        <v>1524</v>
      </c>
      <c r="H98" s="13" t="s">
        <v>3384</v>
      </c>
      <c r="I98" s="13" t="s">
        <v>1009</v>
      </c>
    </row>
    <row r="99" spans="1:9" s="13" customFormat="1" ht="12.75" customHeight="1">
      <c r="A99" s="74">
        <v>77</v>
      </c>
      <c r="B99" s="75" t="s">
        <v>4006</v>
      </c>
      <c r="C99" s="59" t="s">
        <v>4007</v>
      </c>
      <c r="F99" s="13" t="s">
        <v>1010</v>
      </c>
      <c r="G99" s="13" t="s">
        <v>1524</v>
      </c>
      <c r="H99" s="13" t="s">
        <v>3384</v>
      </c>
      <c r="I99" s="13" t="s">
        <v>1009</v>
      </c>
    </row>
    <row r="100" spans="1:9" s="13" customFormat="1" ht="12.75" customHeight="1">
      <c r="A100" s="74">
        <v>78</v>
      </c>
      <c r="B100" s="75" t="s">
        <v>4008</v>
      </c>
      <c r="C100" s="59" t="s">
        <v>4009</v>
      </c>
      <c r="F100" s="13" t="s">
        <v>1010</v>
      </c>
      <c r="G100" s="13" t="s">
        <v>1514</v>
      </c>
      <c r="H100" s="13" t="s">
        <v>1470</v>
      </c>
      <c r="I100" s="13" t="s">
        <v>1009</v>
      </c>
    </row>
    <row r="101" spans="1:9" s="13" customFormat="1" ht="12.75" customHeight="1">
      <c r="A101" s="74">
        <v>79</v>
      </c>
      <c r="B101" s="75" t="s">
        <v>4010</v>
      </c>
      <c r="C101" s="59" t="s">
        <v>4011</v>
      </c>
      <c r="F101" s="13" t="s">
        <v>1010</v>
      </c>
      <c r="G101" s="13" t="s">
        <v>1524</v>
      </c>
      <c r="H101" s="13" t="s">
        <v>1527</v>
      </c>
      <c r="I101" s="13" t="s">
        <v>1009</v>
      </c>
    </row>
    <row r="102" spans="1:9" s="13" customFormat="1" ht="12.75" customHeight="1">
      <c r="A102" s="74">
        <v>80</v>
      </c>
      <c r="B102" s="75" t="s">
        <v>4012</v>
      </c>
      <c r="C102" s="59" t="s">
        <v>4013</v>
      </c>
      <c r="F102" s="13" t="s">
        <v>1010</v>
      </c>
      <c r="G102" s="13" t="s">
        <v>1514</v>
      </c>
      <c r="H102" s="13" t="s">
        <v>1527</v>
      </c>
      <c r="I102" s="13" t="s">
        <v>1009</v>
      </c>
    </row>
    <row r="103" spans="1:9" s="13" customFormat="1" ht="12.75" customHeight="1">
      <c r="A103" s="74">
        <v>82</v>
      </c>
      <c r="B103" s="75" t="s">
        <v>4014</v>
      </c>
      <c r="C103" s="59" t="s">
        <v>4015</v>
      </c>
      <c r="F103" s="13" t="s">
        <v>1010</v>
      </c>
      <c r="G103" s="13" t="s">
        <v>1524</v>
      </c>
      <c r="H103" s="13" t="s">
        <v>1527</v>
      </c>
      <c r="I103" s="13" t="s">
        <v>1009</v>
      </c>
    </row>
    <row r="104" spans="1:9" s="13" customFormat="1" ht="12.75" customHeight="1">
      <c r="A104" s="74">
        <v>83</v>
      </c>
      <c r="B104" s="75" t="s">
        <v>4016</v>
      </c>
      <c r="C104" s="59" t="s">
        <v>4017</v>
      </c>
      <c r="F104" s="13" t="s">
        <v>1010</v>
      </c>
      <c r="G104" s="13" t="s">
        <v>1514</v>
      </c>
      <c r="H104" s="13" t="s">
        <v>1527</v>
      </c>
      <c r="I104" s="13" t="s">
        <v>1009</v>
      </c>
    </row>
    <row r="105" spans="1:9" s="13" customFormat="1" ht="12.75" customHeight="1">
      <c r="A105" s="74">
        <v>84</v>
      </c>
      <c r="B105" s="75" t="s">
        <v>4018</v>
      </c>
      <c r="C105" s="59" t="s">
        <v>4019</v>
      </c>
      <c r="F105" s="13" t="s">
        <v>1010</v>
      </c>
      <c r="G105" s="13" t="s">
        <v>1524</v>
      </c>
      <c r="H105" s="13" t="s">
        <v>1470</v>
      </c>
      <c r="I105" s="13" t="s">
        <v>1009</v>
      </c>
    </row>
    <row r="106" spans="1:9" s="13" customFormat="1" ht="12.75" customHeight="1">
      <c r="A106" s="74">
        <v>85</v>
      </c>
      <c r="B106" s="75" t="s">
        <v>4020</v>
      </c>
      <c r="C106" s="59" t="s">
        <v>4021</v>
      </c>
      <c r="F106" s="13" t="s">
        <v>1010</v>
      </c>
      <c r="G106" s="13" t="s">
        <v>1514</v>
      </c>
      <c r="H106" s="13" t="s">
        <v>1527</v>
      </c>
      <c r="I106" s="13" t="s">
        <v>1009</v>
      </c>
    </row>
    <row r="107" spans="1:9" s="13" customFormat="1" ht="12.75" customHeight="1">
      <c r="A107" s="74">
        <v>86</v>
      </c>
      <c r="B107" s="75" t="s">
        <v>4022</v>
      </c>
      <c r="C107" s="59" t="s">
        <v>4023</v>
      </c>
      <c r="F107" s="13" t="s">
        <v>1010</v>
      </c>
      <c r="G107" s="13" t="s">
        <v>1514</v>
      </c>
      <c r="H107" s="13" t="s">
        <v>1527</v>
      </c>
      <c r="I107" s="13" t="s">
        <v>1009</v>
      </c>
    </row>
    <row r="108" spans="1:9" s="13" customFormat="1" ht="12.75" customHeight="1">
      <c r="A108" s="74">
        <v>87</v>
      </c>
      <c r="B108" s="75" t="s">
        <v>4024</v>
      </c>
      <c r="C108" s="59" t="s">
        <v>4025</v>
      </c>
      <c r="F108" s="13" t="s">
        <v>1010</v>
      </c>
      <c r="G108" s="13" t="s">
        <v>1524</v>
      </c>
      <c r="H108" s="13" t="s">
        <v>1470</v>
      </c>
      <c r="I108" s="13" t="s">
        <v>1009</v>
      </c>
    </row>
    <row r="109" spans="1:9" s="13" customFormat="1" ht="12.75" customHeight="1">
      <c r="A109" s="74">
        <v>88</v>
      </c>
      <c r="B109" s="75" t="s">
        <v>4026</v>
      </c>
      <c r="C109" s="59" t="s">
        <v>4027</v>
      </c>
      <c r="F109" s="13" t="s">
        <v>1010</v>
      </c>
      <c r="G109" s="13" t="s">
        <v>1514</v>
      </c>
      <c r="H109" s="13" t="s">
        <v>1470</v>
      </c>
      <c r="I109" s="13" t="s">
        <v>1009</v>
      </c>
    </row>
    <row r="110" spans="1:9" s="13" customFormat="1" ht="12.75" customHeight="1">
      <c r="A110" s="74">
        <v>89</v>
      </c>
      <c r="B110" s="75" t="s">
        <v>4028</v>
      </c>
      <c r="C110" s="59" t="s">
        <v>4029</v>
      </c>
      <c r="F110" s="13" t="s">
        <v>1010</v>
      </c>
      <c r="G110" s="13" t="s">
        <v>1524</v>
      </c>
      <c r="H110" s="13" t="s">
        <v>1514</v>
      </c>
      <c r="I110" s="13" t="s">
        <v>1009</v>
      </c>
    </row>
    <row r="111" spans="1:9" s="13" customFormat="1" ht="12.75" customHeight="1">
      <c r="A111" s="74">
        <v>90</v>
      </c>
      <c r="B111" s="75" t="s">
        <v>4030</v>
      </c>
      <c r="C111" s="59" t="s">
        <v>4031</v>
      </c>
      <c r="F111" s="13" t="s">
        <v>1010</v>
      </c>
      <c r="G111" s="13" t="s">
        <v>1524</v>
      </c>
      <c r="H111" s="13" t="s">
        <v>1527</v>
      </c>
      <c r="I111" s="13" t="s">
        <v>1009</v>
      </c>
    </row>
    <row r="112" spans="1:9" s="13" customFormat="1" ht="12.75" customHeight="1">
      <c r="A112" s="74">
        <v>91</v>
      </c>
      <c r="B112" s="75" t="s">
        <v>4032</v>
      </c>
      <c r="C112" s="59" t="s">
        <v>4033</v>
      </c>
      <c r="F112" s="13" t="s">
        <v>1010</v>
      </c>
      <c r="G112" s="13" t="s">
        <v>1514</v>
      </c>
      <c r="H112" s="13" t="s">
        <v>1470</v>
      </c>
      <c r="I112" s="13" t="s">
        <v>1009</v>
      </c>
    </row>
    <row r="113" spans="1:9" s="13" customFormat="1" ht="12.75" customHeight="1">
      <c r="A113" s="74">
        <v>92</v>
      </c>
      <c r="B113" s="75" t="s">
        <v>4034</v>
      </c>
      <c r="C113" s="59" t="s">
        <v>4035</v>
      </c>
      <c r="F113" s="13" t="s">
        <v>1010</v>
      </c>
      <c r="G113" s="13" t="s">
        <v>1514</v>
      </c>
      <c r="H113" s="13" t="s">
        <v>1514</v>
      </c>
      <c r="I113" s="13" t="s">
        <v>1009</v>
      </c>
    </row>
    <row r="114" spans="1:9" s="13" customFormat="1" ht="12.75" customHeight="1">
      <c r="A114" s="74">
        <v>93</v>
      </c>
      <c r="B114" s="75" t="s">
        <v>4036</v>
      </c>
      <c r="C114" s="59" t="s">
        <v>4037</v>
      </c>
      <c r="F114" s="13" t="s">
        <v>1010</v>
      </c>
      <c r="G114" s="13" t="s">
        <v>1524</v>
      </c>
      <c r="H114" s="13" t="s">
        <v>1469</v>
      </c>
      <c r="I114" s="13" t="s">
        <v>1009</v>
      </c>
    </row>
    <row r="115" spans="1:9" s="13" customFormat="1" ht="12.75" customHeight="1">
      <c r="A115" s="74">
        <v>94</v>
      </c>
      <c r="B115" s="75" t="s">
        <v>4038</v>
      </c>
      <c r="C115" s="59" t="s">
        <v>4039</v>
      </c>
      <c r="F115" s="13" t="s">
        <v>1010</v>
      </c>
      <c r="G115" s="13" t="s">
        <v>1524</v>
      </c>
      <c r="H115" s="13" t="s">
        <v>1527</v>
      </c>
      <c r="I115" s="13" t="s">
        <v>1009</v>
      </c>
    </row>
    <row r="116" spans="1:9" s="13" customFormat="1" ht="12.75" customHeight="1">
      <c r="A116" s="74">
        <v>95</v>
      </c>
      <c r="B116" s="75" t="s">
        <v>4040</v>
      </c>
      <c r="C116" s="59" t="s">
        <v>4041</v>
      </c>
      <c r="F116" s="13" t="s">
        <v>1010</v>
      </c>
      <c r="G116" s="13" t="s">
        <v>1514</v>
      </c>
      <c r="H116" s="13" t="s">
        <v>1470</v>
      </c>
      <c r="I116" s="13" t="s">
        <v>1009</v>
      </c>
    </row>
    <row r="117" spans="1:9" s="13" customFormat="1" ht="12.75" customHeight="1">
      <c r="A117" s="74">
        <v>96</v>
      </c>
      <c r="B117" s="75" t="s">
        <v>4042</v>
      </c>
      <c r="C117" s="59" t="s">
        <v>4043</v>
      </c>
      <c r="F117" s="13" t="s">
        <v>1010</v>
      </c>
      <c r="G117" s="13" t="s">
        <v>1514</v>
      </c>
      <c r="H117" s="13" t="s">
        <v>1470</v>
      </c>
      <c r="I117" s="13" t="s">
        <v>1009</v>
      </c>
    </row>
    <row r="118" spans="1:9" s="13" customFormat="1" ht="12.75" customHeight="1">
      <c r="A118" s="74">
        <v>97</v>
      </c>
      <c r="B118" s="75" t="s">
        <v>4044</v>
      </c>
      <c r="C118" s="59" t="s">
        <v>4045</v>
      </c>
      <c r="F118" s="13" t="s">
        <v>1010</v>
      </c>
      <c r="G118" s="13" t="s">
        <v>1524</v>
      </c>
      <c r="H118" s="13" t="s">
        <v>1527</v>
      </c>
      <c r="I118" s="13" t="s">
        <v>1009</v>
      </c>
    </row>
    <row r="119" spans="1:9" s="13" customFormat="1" ht="12.75" customHeight="1">
      <c r="A119" s="74">
        <v>98</v>
      </c>
      <c r="B119" s="75" t="s">
        <v>4046</v>
      </c>
      <c r="C119" s="59" t="s">
        <v>4047</v>
      </c>
      <c r="F119" s="13" t="s">
        <v>1010</v>
      </c>
      <c r="G119" s="13" t="s">
        <v>1514</v>
      </c>
      <c r="H119" s="13" t="s">
        <v>1470</v>
      </c>
      <c r="I119" s="13" t="s">
        <v>1009</v>
      </c>
    </row>
    <row r="120" spans="1:9" s="13" customFormat="1" ht="12.75" customHeight="1">
      <c r="A120" s="74">
        <v>99</v>
      </c>
      <c r="B120" s="75" t="s">
        <v>4048</v>
      </c>
      <c r="C120" s="59" t="s">
        <v>4049</v>
      </c>
      <c r="F120" s="13" t="s">
        <v>1010</v>
      </c>
      <c r="G120" s="13" t="s">
        <v>1514</v>
      </c>
      <c r="H120" s="13" t="s">
        <v>1517</v>
      </c>
      <c r="I120" s="13" t="s">
        <v>1009</v>
      </c>
    </row>
    <row r="121" spans="1:9" s="13" customFormat="1" ht="12.75" customHeight="1">
      <c r="A121" s="74">
        <v>100</v>
      </c>
      <c r="B121" s="75" t="s">
        <v>4050</v>
      </c>
      <c r="C121" s="59" t="s">
        <v>4051</v>
      </c>
      <c r="F121" s="13" t="s">
        <v>1010</v>
      </c>
      <c r="G121" s="13" t="s">
        <v>1524</v>
      </c>
      <c r="H121" s="13" t="s">
        <v>1514</v>
      </c>
      <c r="I121" s="13" t="s">
        <v>1009</v>
      </c>
    </row>
    <row r="122" spans="1:9" s="13" customFormat="1" ht="12.75" customHeight="1">
      <c r="A122" s="74">
        <v>101</v>
      </c>
      <c r="B122" s="75" t="s">
        <v>4052</v>
      </c>
      <c r="C122" s="59" t="s">
        <v>4053</v>
      </c>
      <c r="F122" s="13" t="s">
        <v>1010</v>
      </c>
      <c r="G122" s="13" t="s">
        <v>1514</v>
      </c>
      <c r="H122" s="13" t="s">
        <v>1470</v>
      </c>
      <c r="I122" s="13" t="s">
        <v>1009</v>
      </c>
    </row>
    <row r="123" spans="1:9" s="13" customFormat="1" ht="12.75" customHeight="1">
      <c r="A123" s="74">
        <v>102</v>
      </c>
      <c r="B123" s="75" t="s">
        <v>4054</v>
      </c>
      <c r="C123" s="59" t="s">
        <v>4055</v>
      </c>
      <c r="F123" s="13" t="s">
        <v>1010</v>
      </c>
      <c r="G123" s="13" t="s">
        <v>1514</v>
      </c>
      <c r="H123" s="13" t="s">
        <v>3384</v>
      </c>
      <c r="I123" s="13" t="s">
        <v>1009</v>
      </c>
    </row>
    <row r="124" spans="1:9" s="13" customFormat="1" ht="12.75" customHeight="1">
      <c r="A124" s="74">
        <v>103</v>
      </c>
      <c r="B124" s="75" t="s">
        <v>4056</v>
      </c>
      <c r="C124" s="59" t="s">
        <v>4057</v>
      </c>
      <c r="F124" s="13" t="s">
        <v>1010</v>
      </c>
      <c r="G124" s="13" t="s">
        <v>1524</v>
      </c>
      <c r="H124" s="13" t="s">
        <v>3384</v>
      </c>
      <c r="I124" s="13" t="s">
        <v>1009</v>
      </c>
    </row>
    <row r="125" spans="1:9" s="13" customFormat="1" ht="12.75" customHeight="1">
      <c r="A125" s="74">
        <v>104</v>
      </c>
      <c r="B125" s="75" t="s">
        <v>4058</v>
      </c>
      <c r="C125" s="59" t="s">
        <v>4059</v>
      </c>
      <c r="F125" s="13" t="s">
        <v>1010</v>
      </c>
      <c r="G125" s="13" t="s">
        <v>1524</v>
      </c>
      <c r="H125" s="13" t="s">
        <v>1473</v>
      </c>
      <c r="I125" s="13" t="s">
        <v>1009</v>
      </c>
    </row>
    <row r="126" spans="1:9" s="13" customFormat="1" ht="12.75" customHeight="1">
      <c r="A126" s="74">
        <v>105</v>
      </c>
      <c r="B126" s="75" t="s">
        <v>4060</v>
      </c>
      <c r="C126" s="59" t="s">
        <v>4061</v>
      </c>
      <c r="F126" s="13" t="s">
        <v>1010</v>
      </c>
      <c r="G126" s="13" t="s">
        <v>1514</v>
      </c>
      <c r="H126" s="13" t="s">
        <v>1470</v>
      </c>
      <c r="I126" s="13" t="s">
        <v>1009</v>
      </c>
    </row>
    <row r="127" spans="1:9" s="13" customFormat="1" ht="12.75" customHeight="1">
      <c r="A127" s="74">
        <v>106</v>
      </c>
      <c r="B127" s="75" t="s">
        <v>4062</v>
      </c>
      <c r="C127" s="59" t="s">
        <v>4063</v>
      </c>
      <c r="F127" s="13" t="s">
        <v>1010</v>
      </c>
      <c r="G127" s="13" t="s">
        <v>1514</v>
      </c>
      <c r="H127" s="13" t="s">
        <v>1470</v>
      </c>
      <c r="I127" s="13" t="s">
        <v>1009</v>
      </c>
    </row>
    <row r="128" spans="1:9" s="13" customFormat="1" ht="12.75" customHeight="1">
      <c r="A128" s="74">
        <v>107</v>
      </c>
      <c r="B128" s="75" t="s">
        <v>4064</v>
      </c>
      <c r="C128" s="59" t="s">
        <v>4065</v>
      </c>
      <c r="F128" s="13" t="s">
        <v>1010</v>
      </c>
      <c r="G128" s="13" t="s">
        <v>1524</v>
      </c>
      <c r="H128" s="13" t="s">
        <v>1470</v>
      </c>
      <c r="I128" s="13" t="s">
        <v>1009</v>
      </c>
    </row>
    <row r="129" spans="1:9" s="13" customFormat="1" ht="12.75" customHeight="1">
      <c r="A129" s="74">
        <v>108</v>
      </c>
      <c r="B129" s="75" t="s">
        <v>4066</v>
      </c>
      <c r="C129" s="59" t="s">
        <v>4067</v>
      </c>
      <c r="F129" s="13" t="s">
        <v>1010</v>
      </c>
      <c r="G129" s="13" t="s">
        <v>1524</v>
      </c>
      <c r="H129" s="13" t="s">
        <v>1514</v>
      </c>
      <c r="I129" s="13" t="s">
        <v>1009</v>
      </c>
    </row>
    <row r="130" spans="1:9" s="13" customFormat="1" ht="12.75" customHeight="1">
      <c r="A130" s="74">
        <v>109</v>
      </c>
      <c r="B130" s="75" t="s">
        <v>4068</v>
      </c>
      <c r="C130" s="59" t="s">
        <v>4069</v>
      </c>
      <c r="F130" s="13" t="s">
        <v>1010</v>
      </c>
      <c r="G130" s="13" t="s">
        <v>1524</v>
      </c>
      <c r="H130" s="13" t="s">
        <v>1514</v>
      </c>
      <c r="I130" s="13" t="s">
        <v>1009</v>
      </c>
    </row>
    <row r="131" spans="1:9" s="13" customFormat="1" ht="12.75" customHeight="1">
      <c r="A131" s="74">
        <v>110</v>
      </c>
      <c r="B131" s="75" t="s">
        <v>4070</v>
      </c>
      <c r="C131" s="59" t="s">
        <v>4071</v>
      </c>
      <c r="F131" s="13" t="s">
        <v>1010</v>
      </c>
      <c r="G131" s="13" t="s">
        <v>1524</v>
      </c>
      <c r="H131" s="13" t="s">
        <v>1470</v>
      </c>
      <c r="I131" s="13" t="s">
        <v>1009</v>
      </c>
    </row>
    <row r="132" spans="1:9" s="13" customFormat="1" ht="12.75" customHeight="1">
      <c r="A132" s="74">
        <v>111</v>
      </c>
      <c r="B132" s="75" t="s">
        <v>4072</v>
      </c>
      <c r="C132" s="59" t="s">
        <v>4073</v>
      </c>
      <c r="F132" s="13" t="s">
        <v>1010</v>
      </c>
      <c r="G132" s="13" t="s">
        <v>1524</v>
      </c>
      <c r="H132" s="13" t="s">
        <v>1473</v>
      </c>
      <c r="I132" s="13" t="s">
        <v>1009</v>
      </c>
    </row>
    <row r="133" spans="1:9" s="13" customFormat="1" ht="12.75" customHeight="1">
      <c r="A133" s="74">
        <v>112</v>
      </c>
      <c r="B133" s="75" t="s">
        <v>152</v>
      </c>
      <c r="C133" s="59" t="s">
        <v>4074</v>
      </c>
      <c r="F133" s="13" t="s">
        <v>1010</v>
      </c>
      <c r="G133" s="13" t="s">
        <v>1514</v>
      </c>
      <c r="H133" s="13" t="s">
        <v>1517</v>
      </c>
      <c r="I133" s="13" t="s">
        <v>1009</v>
      </c>
    </row>
    <row r="134" spans="1:9" s="13" customFormat="1" ht="12.75" customHeight="1">
      <c r="A134" s="74">
        <v>113</v>
      </c>
      <c r="B134" s="75" t="s">
        <v>4075</v>
      </c>
      <c r="C134" s="59" t="s">
        <v>4076</v>
      </c>
      <c r="F134" s="13" t="s">
        <v>1010</v>
      </c>
      <c r="G134" s="13" t="s">
        <v>1524</v>
      </c>
      <c r="H134" s="13" t="s">
        <v>1527</v>
      </c>
      <c r="I134" s="13" t="s">
        <v>1009</v>
      </c>
    </row>
    <row r="135" spans="1:9" s="13" customFormat="1" ht="12.75" customHeight="1">
      <c r="A135" s="74">
        <v>114</v>
      </c>
      <c r="B135" s="75" t="s">
        <v>4077</v>
      </c>
      <c r="C135" s="59" t="s">
        <v>4078</v>
      </c>
      <c r="F135" s="13" t="s">
        <v>1010</v>
      </c>
      <c r="G135" s="13" t="s">
        <v>1524</v>
      </c>
      <c r="H135" s="13" t="s">
        <v>1473</v>
      </c>
      <c r="I135" s="13" t="s">
        <v>1009</v>
      </c>
    </row>
    <row r="136" spans="1:9" s="13" customFormat="1" ht="12.75" customHeight="1">
      <c r="A136" s="74">
        <v>115</v>
      </c>
      <c r="B136" s="75" t="s">
        <v>4079</v>
      </c>
      <c r="C136" s="59" t="s">
        <v>4080</v>
      </c>
      <c r="F136" s="13" t="s">
        <v>1010</v>
      </c>
      <c r="G136" s="13" t="s">
        <v>1514</v>
      </c>
      <c r="H136" s="13" t="s">
        <v>1469</v>
      </c>
      <c r="I136" s="13" t="s">
        <v>1009</v>
      </c>
    </row>
    <row r="137" spans="1:9" s="13" customFormat="1" ht="12.75" customHeight="1">
      <c r="A137" s="74">
        <v>116</v>
      </c>
      <c r="B137" s="75" t="s">
        <v>4081</v>
      </c>
      <c r="C137" s="59" t="s">
        <v>4082</v>
      </c>
      <c r="F137" s="13" t="s">
        <v>1010</v>
      </c>
      <c r="G137" s="13" t="s">
        <v>1524</v>
      </c>
      <c r="H137" s="13" t="s">
        <v>1469</v>
      </c>
      <c r="I137" s="13" t="s">
        <v>1009</v>
      </c>
    </row>
    <row r="138" spans="1:9" s="13" customFormat="1" ht="12.75" customHeight="1">
      <c r="A138" s="74">
        <v>117</v>
      </c>
      <c r="B138" s="75" t="s">
        <v>4083</v>
      </c>
      <c r="C138" s="59" t="s">
        <v>4084</v>
      </c>
      <c r="F138" s="13" t="s">
        <v>1010</v>
      </c>
      <c r="G138" s="13" t="s">
        <v>1514</v>
      </c>
      <c r="H138" s="13" t="s">
        <v>1470</v>
      </c>
      <c r="I138" s="13" t="s">
        <v>1009</v>
      </c>
    </row>
    <row r="139" spans="1:9" s="13" customFormat="1" ht="12.75" customHeight="1">
      <c r="A139" s="74">
        <v>118</v>
      </c>
      <c r="B139" s="75" t="s">
        <v>4085</v>
      </c>
      <c r="C139" s="59" t="s">
        <v>4086</v>
      </c>
      <c r="F139" s="13" t="s">
        <v>1010</v>
      </c>
      <c r="G139" s="13" t="s">
        <v>1514</v>
      </c>
      <c r="H139" s="13" t="s">
        <v>1470</v>
      </c>
      <c r="I139" s="13" t="s">
        <v>1009</v>
      </c>
    </row>
    <row r="140" spans="1:9" s="13" customFormat="1" ht="12.75" customHeight="1">
      <c r="A140" s="74">
        <v>119</v>
      </c>
      <c r="B140" s="75" t="s">
        <v>4087</v>
      </c>
      <c r="C140" s="59" t="s">
        <v>4088</v>
      </c>
      <c r="F140" s="13" t="s">
        <v>1010</v>
      </c>
      <c r="G140" s="13" t="s">
        <v>1524</v>
      </c>
      <c r="H140" s="13" t="s">
        <v>1527</v>
      </c>
      <c r="I140" s="13" t="s">
        <v>1009</v>
      </c>
    </row>
    <row r="141" spans="1:9" s="13" customFormat="1" ht="12.75" customHeight="1">
      <c r="A141" s="74">
        <v>120</v>
      </c>
      <c r="B141" s="75" t="s">
        <v>4089</v>
      </c>
      <c r="C141" s="59" t="s">
        <v>4090</v>
      </c>
      <c r="F141" s="13" t="s">
        <v>1010</v>
      </c>
      <c r="G141" s="13" t="s">
        <v>1524</v>
      </c>
      <c r="H141" s="13" t="s">
        <v>1514</v>
      </c>
      <c r="I141" s="13" t="s">
        <v>1009</v>
      </c>
    </row>
    <row r="142" spans="1:9" s="13" customFormat="1" ht="12.75" customHeight="1">
      <c r="A142" s="74">
        <v>121</v>
      </c>
      <c r="B142" s="75" t="s">
        <v>4091</v>
      </c>
      <c r="C142" s="59" t="s">
        <v>4092</v>
      </c>
      <c r="F142" s="13" t="s">
        <v>1010</v>
      </c>
      <c r="G142" s="13" t="s">
        <v>1514</v>
      </c>
      <c r="H142" s="13" t="s">
        <v>1470</v>
      </c>
      <c r="I142" s="13" t="s">
        <v>1009</v>
      </c>
    </row>
    <row r="143" spans="1:9" s="13" customFormat="1" ht="12.75" customHeight="1">
      <c r="A143" s="74">
        <v>122</v>
      </c>
      <c r="B143" s="75" t="s">
        <v>4093</v>
      </c>
      <c r="C143" s="59" t="s">
        <v>4094</v>
      </c>
      <c r="F143" s="13" t="s">
        <v>1010</v>
      </c>
      <c r="G143" s="13" t="s">
        <v>1524</v>
      </c>
      <c r="H143" s="13" t="s">
        <v>1469</v>
      </c>
      <c r="I143" s="13" t="s">
        <v>1009</v>
      </c>
    </row>
    <row r="144" spans="1:9" s="13" customFormat="1" ht="12.75" customHeight="1">
      <c r="A144" s="74">
        <v>123</v>
      </c>
      <c r="B144" s="75" t="s">
        <v>4095</v>
      </c>
      <c r="C144" s="59" t="s">
        <v>4096</v>
      </c>
      <c r="F144" s="13" t="s">
        <v>1010</v>
      </c>
      <c r="G144" s="13" t="s">
        <v>1524</v>
      </c>
      <c r="H144" s="13" t="s">
        <v>1470</v>
      </c>
      <c r="I144" s="13" t="s">
        <v>1009</v>
      </c>
    </row>
    <row r="145" spans="1:9" s="13" customFormat="1" ht="12.75" customHeight="1">
      <c r="A145" s="74">
        <v>124</v>
      </c>
      <c r="B145" s="75" t="s">
        <v>4097</v>
      </c>
      <c r="C145" s="59" t="s">
        <v>4098</v>
      </c>
      <c r="F145" s="13" t="s">
        <v>1010</v>
      </c>
      <c r="G145" s="13" t="s">
        <v>1524</v>
      </c>
      <c r="H145" s="13" t="s">
        <v>1469</v>
      </c>
      <c r="I145" s="13" t="s">
        <v>1009</v>
      </c>
    </row>
    <row r="146" spans="1:9" s="13" customFormat="1" ht="12.75" customHeight="1">
      <c r="A146" s="74">
        <v>125</v>
      </c>
      <c r="B146" s="75" t="s">
        <v>4099</v>
      </c>
      <c r="C146" s="59" t="s">
        <v>4100</v>
      </c>
      <c r="F146" s="13" t="s">
        <v>1010</v>
      </c>
      <c r="G146" s="13" t="s">
        <v>1524</v>
      </c>
      <c r="H146" s="13" t="s">
        <v>1473</v>
      </c>
      <c r="I146" s="13" t="s">
        <v>1009</v>
      </c>
    </row>
    <row r="147" spans="1:9" s="13" customFormat="1" ht="12.75" customHeight="1">
      <c r="A147" s="74">
        <v>126</v>
      </c>
      <c r="B147" s="75" t="s">
        <v>4101</v>
      </c>
      <c r="C147" s="59" t="s">
        <v>4102</v>
      </c>
      <c r="F147" s="13" t="s">
        <v>1010</v>
      </c>
      <c r="G147" s="13" t="s">
        <v>1524</v>
      </c>
      <c r="H147" s="13" t="s">
        <v>1527</v>
      </c>
      <c r="I147" s="13" t="s">
        <v>1009</v>
      </c>
    </row>
    <row r="148" spans="1:9" s="13" customFormat="1" ht="12.75" customHeight="1">
      <c r="A148" s="74">
        <v>127</v>
      </c>
      <c r="B148" s="75" t="s">
        <v>4103</v>
      </c>
      <c r="C148" s="59" t="s">
        <v>4104</v>
      </c>
      <c r="F148" s="13" t="s">
        <v>1010</v>
      </c>
      <c r="G148" s="13" t="s">
        <v>1524</v>
      </c>
      <c r="H148" s="13" t="s">
        <v>1473</v>
      </c>
      <c r="I148" s="13" t="s">
        <v>1009</v>
      </c>
    </row>
    <row r="149" spans="1:9" s="13" customFormat="1" ht="12.75" customHeight="1">
      <c r="A149" s="74">
        <v>128</v>
      </c>
      <c r="B149" s="75" t="s">
        <v>4105</v>
      </c>
      <c r="C149" s="59" t="s">
        <v>4106</v>
      </c>
      <c r="F149" s="13" t="s">
        <v>1010</v>
      </c>
      <c r="G149" s="13" t="s">
        <v>1514</v>
      </c>
      <c r="H149" s="13" t="s">
        <v>1527</v>
      </c>
      <c r="I149" s="13" t="s">
        <v>1009</v>
      </c>
    </row>
    <row r="150" spans="1:9" s="13" customFormat="1" ht="12.75" customHeight="1">
      <c r="A150" s="74">
        <v>129</v>
      </c>
      <c r="B150" s="75" t="s">
        <v>4107</v>
      </c>
      <c r="C150" s="59" t="s">
        <v>4108</v>
      </c>
      <c r="F150" s="13" t="s">
        <v>1010</v>
      </c>
      <c r="G150" s="13" t="s">
        <v>1524</v>
      </c>
      <c r="H150" s="13" t="s">
        <v>1527</v>
      </c>
      <c r="I150" s="13" t="s">
        <v>1009</v>
      </c>
    </row>
    <row r="151" spans="1:9" s="13" customFormat="1" ht="12.75" customHeight="1">
      <c r="A151" s="74">
        <v>130</v>
      </c>
      <c r="B151" s="75" t="s">
        <v>4109</v>
      </c>
      <c r="C151" s="59" t="s">
        <v>4110</v>
      </c>
      <c r="F151" s="13" t="s">
        <v>1010</v>
      </c>
      <c r="G151" s="13" t="s">
        <v>1514</v>
      </c>
      <c r="H151" s="13" t="s">
        <v>1514</v>
      </c>
      <c r="I151" s="13" t="s">
        <v>1009</v>
      </c>
    </row>
    <row r="152" spans="1:9" s="13" customFormat="1" ht="12.75" customHeight="1">
      <c r="A152" s="74">
        <v>131</v>
      </c>
      <c r="B152" s="75" t="s">
        <v>4111</v>
      </c>
      <c r="C152" s="59" t="s">
        <v>4112</v>
      </c>
      <c r="F152" s="13" t="s">
        <v>1010</v>
      </c>
      <c r="G152" s="13" t="s">
        <v>1524</v>
      </c>
      <c r="H152" s="13" t="s">
        <v>1527</v>
      </c>
      <c r="I152" s="13" t="s">
        <v>1009</v>
      </c>
    </row>
    <row r="153" spans="1:9" s="13" customFormat="1" ht="12.75" customHeight="1">
      <c r="A153" s="74">
        <v>132</v>
      </c>
      <c r="B153" s="75" t="s">
        <v>4113</v>
      </c>
      <c r="C153" s="59" t="s">
        <v>4114</v>
      </c>
      <c r="F153" s="13" t="s">
        <v>1010</v>
      </c>
      <c r="G153" s="13" t="s">
        <v>1514</v>
      </c>
      <c r="H153" s="13" t="s">
        <v>1470</v>
      </c>
      <c r="I153" s="13" t="s">
        <v>1009</v>
      </c>
    </row>
    <row r="154" spans="1:9" s="13" customFormat="1" ht="12.75" customHeight="1">
      <c r="A154" s="74">
        <v>133</v>
      </c>
      <c r="B154" s="75" t="s">
        <v>4115</v>
      </c>
      <c r="C154" s="59" t="s">
        <v>4116</v>
      </c>
      <c r="F154" s="13" t="s">
        <v>1010</v>
      </c>
      <c r="G154" s="13" t="s">
        <v>1514</v>
      </c>
      <c r="H154" s="13" t="s">
        <v>1514</v>
      </c>
      <c r="I154" s="13" t="s">
        <v>1009</v>
      </c>
    </row>
    <row r="155" spans="1:9" s="13" customFormat="1" ht="12.75" customHeight="1">
      <c r="A155" s="74">
        <v>134</v>
      </c>
      <c r="B155" s="75" t="s">
        <v>4117</v>
      </c>
      <c r="C155" s="59" t="s">
        <v>4118</v>
      </c>
      <c r="F155" s="13" t="s">
        <v>1010</v>
      </c>
      <c r="G155" s="13" t="s">
        <v>1514</v>
      </c>
      <c r="H155" s="13" t="s">
        <v>1470</v>
      </c>
      <c r="I155" s="13" t="s">
        <v>1009</v>
      </c>
    </row>
    <row r="156" spans="1:9" s="13" customFormat="1" ht="12.75" customHeight="1">
      <c r="A156" s="74">
        <v>135</v>
      </c>
      <c r="B156" s="75" t="s">
        <v>4119</v>
      </c>
      <c r="C156" s="59" t="s">
        <v>4120</v>
      </c>
      <c r="F156" s="13" t="s">
        <v>1010</v>
      </c>
      <c r="G156" s="13" t="s">
        <v>1514</v>
      </c>
      <c r="H156" s="13" t="s">
        <v>1514</v>
      </c>
      <c r="I156" s="13" t="s">
        <v>1009</v>
      </c>
    </row>
    <row r="157" spans="1:9" s="13" customFormat="1" ht="12.75" customHeight="1">
      <c r="A157" s="74">
        <v>136</v>
      </c>
      <c r="B157" s="75" t="s">
        <v>4121</v>
      </c>
      <c r="C157" s="59" t="s">
        <v>4122</v>
      </c>
      <c r="F157" s="13" t="s">
        <v>1010</v>
      </c>
      <c r="G157" s="13" t="s">
        <v>1524</v>
      </c>
      <c r="H157" s="13" t="s">
        <v>1527</v>
      </c>
      <c r="I157" s="13" t="s">
        <v>1009</v>
      </c>
    </row>
    <row r="158" spans="1:9" s="13" customFormat="1" ht="12.75" customHeight="1">
      <c r="A158" s="74">
        <v>137</v>
      </c>
      <c r="B158" s="75" t="s">
        <v>4123</v>
      </c>
      <c r="C158" s="59" t="s">
        <v>4124</v>
      </c>
      <c r="F158" s="13" t="s">
        <v>1010</v>
      </c>
      <c r="G158" s="13" t="s">
        <v>1524</v>
      </c>
      <c r="H158" s="13" t="s">
        <v>1527</v>
      </c>
      <c r="I158" s="13" t="s">
        <v>1009</v>
      </c>
    </row>
    <row r="159" spans="1:9" s="13" customFormat="1" ht="12.75" customHeight="1">
      <c r="A159" s="74">
        <v>138</v>
      </c>
      <c r="B159" s="75" t="s">
        <v>4125</v>
      </c>
      <c r="C159" s="59" t="s">
        <v>4126</v>
      </c>
      <c r="F159" s="13" t="s">
        <v>1010</v>
      </c>
      <c r="G159" s="13" t="s">
        <v>1524</v>
      </c>
      <c r="H159" s="13" t="s">
        <v>1527</v>
      </c>
      <c r="I159" s="13" t="s">
        <v>1009</v>
      </c>
    </row>
    <row r="160" spans="1:9" s="13" customFormat="1" ht="12.75" customHeight="1">
      <c r="A160" s="74">
        <v>139</v>
      </c>
      <c r="B160" s="75" t="s">
        <v>4127</v>
      </c>
      <c r="C160" s="59" t="s">
        <v>4128</v>
      </c>
      <c r="F160" s="13" t="s">
        <v>1010</v>
      </c>
      <c r="G160" s="13" t="s">
        <v>1524</v>
      </c>
      <c r="H160" s="13" t="s">
        <v>1527</v>
      </c>
      <c r="I160" s="13" t="s">
        <v>1009</v>
      </c>
    </row>
    <row r="161" spans="1:9" s="13" customFormat="1" ht="12.75" customHeight="1">
      <c r="A161" s="74">
        <v>140</v>
      </c>
      <c r="B161" s="75" t="s">
        <v>4129</v>
      </c>
      <c r="C161" s="59" t="s">
        <v>4130</v>
      </c>
      <c r="F161" s="13" t="s">
        <v>1010</v>
      </c>
      <c r="G161" s="13" t="s">
        <v>1514</v>
      </c>
      <c r="H161" s="13" t="s">
        <v>1527</v>
      </c>
      <c r="I161" s="13" t="s">
        <v>1009</v>
      </c>
    </row>
    <row r="162" spans="1:9" s="13" customFormat="1" ht="12.75" customHeight="1">
      <c r="A162" s="74">
        <v>141</v>
      </c>
      <c r="B162" s="75" t="s">
        <v>4131</v>
      </c>
      <c r="C162" s="59" t="s">
        <v>4132</v>
      </c>
      <c r="F162" s="13" t="s">
        <v>1010</v>
      </c>
      <c r="G162" s="13" t="s">
        <v>1524</v>
      </c>
      <c r="H162" s="13" t="s">
        <v>1514</v>
      </c>
      <c r="I162" s="13" t="s">
        <v>1009</v>
      </c>
    </row>
    <row r="163" spans="1:9" s="13" customFormat="1" ht="12.75" customHeight="1">
      <c r="A163" s="74">
        <v>142</v>
      </c>
      <c r="B163" s="75" t="s">
        <v>4133</v>
      </c>
      <c r="C163" s="59" t="s">
        <v>4134</v>
      </c>
      <c r="F163" s="13" t="s">
        <v>1010</v>
      </c>
      <c r="G163" s="13" t="s">
        <v>1524</v>
      </c>
      <c r="H163" s="13" t="s">
        <v>1473</v>
      </c>
      <c r="I163" s="13" t="s">
        <v>1009</v>
      </c>
    </row>
    <row r="164" spans="1:9" s="13" customFormat="1" ht="12.75" customHeight="1">
      <c r="A164" s="74">
        <v>143</v>
      </c>
      <c r="B164" s="75" t="s">
        <v>4135</v>
      </c>
      <c r="C164" s="59" t="s">
        <v>4136</v>
      </c>
      <c r="F164" s="13" t="s">
        <v>1010</v>
      </c>
      <c r="G164" s="13" t="s">
        <v>1524</v>
      </c>
      <c r="H164" s="13" t="s">
        <v>1527</v>
      </c>
      <c r="I164" s="13" t="s">
        <v>1009</v>
      </c>
    </row>
    <row r="165" spans="1:9" s="13" customFormat="1" ht="12.75" customHeight="1">
      <c r="A165" s="74">
        <v>144</v>
      </c>
      <c r="B165" s="75" t="s">
        <v>4137</v>
      </c>
      <c r="C165" s="59" t="s">
        <v>4138</v>
      </c>
      <c r="F165" s="13" t="s">
        <v>1010</v>
      </c>
      <c r="G165" s="13" t="s">
        <v>1514</v>
      </c>
      <c r="H165" s="13" t="s">
        <v>1527</v>
      </c>
      <c r="I165" s="13" t="s">
        <v>1009</v>
      </c>
    </row>
    <row r="166" spans="1:9" s="13" customFormat="1" ht="12.75" customHeight="1">
      <c r="A166" s="74">
        <v>145</v>
      </c>
      <c r="B166" s="75" t="s">
        <v>4139</v>
      </c>
      <c r="C166" s="59" t="s">
        <v>4140</v>
      </c>
      <c r="F166" s="13" t="s">
        <v>1010</v>
      </c>
      <c r="G166" s="13" t="s">
        <v>1514</v>
      </c>
      <c r="H166" s="13" t="s">
        <v>1527</v>
      </c>
      <c r="I166" s="13" t="s">
        <v>1009</v>
      </c>
    </row>
    <row r="167" spans="1:9" s="13" customFormat="1" ht="12.75" customHeight="1">
      <c r="A167" s="74">
        <v>146</v>
      </c>
      <c r="B167" s="75" t="s">
        <v>4141</v>
      </c>
      <c r="C167" s="59" t="s">
        <v>4142</v>
      </c>
      <c r="F167" s="13" t="s">
        <v>1010</v>
      </c>
      <c r="G167" s="13" t="s">
        <v>1524</v>
      </c>
      <c r="H167" s="13" t="s">
        <v>1527</v>
      </c>
      <c r="I167" s="13" t="s">
        <v>1009</v>
      </c>
    </row>
    <row r="168" spans="1:9" s="13" customFormat="1" ht="12.75" customHeight="1">
      <c r="A168" s="74">
        <v>147</v>
      </c>
      <c r="B168" s="75" t="s">
        <v>4143</v>
      </c>
      <c r="C168" s="59" t="s">
        <v>4144</v>
      </c>
      <c r="F168" s="13" t="s">
        <v>1010</v>
      </c>
      <c r="G168" s="13" t="s">
        <v>1514</v>
      </c>
      <c r="H168" s="13" t="s">
        <v>1514</v>
      </c>
      <c r="I168" s="13" t="s">
        <v>1009</v>
      </c>
    </row>
    <row r="169" spans="1:9" s="13" customFormat="1" ht="12.75" customHeight="1">
      <c r="A169" s="74">
        <v>148</v>
      </c>
      <c r="B169" s="75" t="s">
        <v>4145</v>
      </c>
      <c r="C169" s="59" t="s">
        <v>4146</v>
      </c>
      <c r="F169" s="13" t="s">
        <v>1010</v>
      </c>
      <c r="G169" s="13" t="s">
        <v>1524</v>
      </c>
      <c r="H169" s="13" t="s">
        <v>1473</v>
      </c>
      <c r="I169" s="13" t="s">
        <v>1009</v>
      </c>
    </row>
    <row r="170" spans="1:9" s="13" customFormat="1" ht="12.75" customHeight="1">
      <c r="A170" s="74">
        <v>149</v>
      </c>
      <c r="B170" s="75" t="s">
        <v>4147</v>
      </c>
      <c r="C170" s="59" t="s">
        <v>4148</v>
      </c>
      <c r="F170" s="13" t="s">
        <v>1010</v>
      </c>
      <c r="G170" s="13" t="s">
        <v>1524</v>
      </c>
      <c r="H170" s="13" t="s">
        <v>1470</v>
      </c>
      <c r="I170" s="13" t="s">
        <v>1009</v>
      </c>
    </row>
    <row r="171" spans="1:9" s="13" customFormat="1" ht="12.75" customHeight="1">
      <c r="A171" s="74">
        <v>150</v>
      </c>
      <c r="B171" s="75" t="s">
        <v>4149</v>
      </c>
      <c r="C171" s="59" t="s">
        <v>4150</v>
      </c>
      <c r="F171" s="13" t="s">
        <v>1010</v>
      </c>
      <c r="G171" s="13" t="s">
        <v>1524</v>
      </c>
      <c r="H171" s="13" t="s">
        <v>1469</v>
      </c>
      <c r="I171" s="13" t="s">
        <v>1009</v>
      </c>
    </row>
    <row r="172" spans="1:9" s="13" customFormat="1" ht="12.75" customHeight="1">
      <c r="A172" s="74">
        <v>151</v>
      </c>
      <c r="B172" s="75" t="s">
        <v>4151</v>
      </c>
      <c r="C172" s="59" t="s">
        <v>4152</v>
      </c>
      <c r="F172" s="13" t="s">
        <v>1010</v>
      </c>
      <c r="G172" s="13" t="s">
        <v>1524</v>
      </c>
      <c r="H172" s="13" t="s">
        <v>1527</v>
      </c>
      <c r="I172" s="13" t="s">
        <v>1009</v>
      </c>
    </row>
    <row r="173" spans="1:9" s="13" customFormat="1" ht="12.75" customHeight="1">
      <c r="A173" s="74">
        <v>152</v>
      </c>
      <c r="B173" s="75" t="s">
        <v>4153</v>
      </c>
      <c r="C173" s="59" t="s">
        <v>4154</v>
      </c>
      <c r="F173" s="13" t="s">
        <v>1010</v>
      </c>
      <c r="G173" s="13" t="s">
        <v>1524</v>
      </c>
      <c r="H173" s="13" t="s">
        <v>1469</v>
      </c>
      <c r="I173" s="13" t="s">
        <v>1009</v>
      </c>
    </row>
    <row r="174" spans="1:9" s="13" customFormat="1" ht="12.75" customHeight="1">
      <c r="A174" s="74">
        <v>153</v>
      </c>
      <c r="B174" s="75" t="s">
        <v>4155</v>
      </c>
      <c r="C174" s="59" t="s">
        <v>4156</v>
      </c>
      <c r="F174" s="13" t="s">
        <v>1010</v>
      </c>
      <c r="G174" s="13" t="s">
        <v>1514</v>
      </c>
      <c r="H174" s="13" t="s">
        <v>1469</v>
      </c>
      <c r="I174" s="13" t="s">
        <v>1009</v>
      </c>
    </row>
    <row r="175" spans="1:9" s="13" customFormat="1" ht="12.75" customHeight="1">
      <c r="A175" s="74">
        <v>154</v>
      </c>
      <c r="B175" s="75" t="s">
        <v>4157</v>
      </c>
      <c r="C175" s="59" t="s">
        <v>4158</v>
      </c>
      <c r="F175" s="13" t="s">
        <v>1010</v>
      </c>
      <c r="G175" s="13" t="s">
        <v>1524</v>
      </c>
      <c r="H175" s="13" t="s">
        <v>1469</v>
      </c>
      <c r="I175" s="13" t="s">
        <v>1009</v>
      </c>
    </row>
    <row r="176" spans="1:9" s="13" customFormat="1" ht="12.75" customHeight="1">
      <c r="A176" s="74">
        <v>155</v>
      </c>
      <c r="B176" s="75" t="s">
        <v>4159</v>
      </c>
      <c r="C176" s="59" t="s">
        <v>4160</v>
      </c>
      <c r="F176" s="13" t="s">
        <v>1010</v>
      </c>
      <c r="G176" s="13" t="s">
        <v>1514</v>
      </c>
      <c r="H176" s="13" t="s">
        <v>1527</v>
      </c>
      <c r="I176" s="13" t="s">
        <v>1009</v>
      </c>
    </row>
    <row r="177" spans="1:9" s="13" customFormat="1" ht="12.75" customHeight="1">
      <c r="A177" s="74">
        <v>157</v>
      </c>
      <c r="B177" s="75" t="s">
        <v>4161</v>
      </c>
      <c r="C177" s="59" t="s">
        <v>4162</v>
      </c>
      <c r="F177" s="13" t="s">
        <v>1010</v>
      </c>
      <c r="G177" s="13" t="s">
        <v>1524</v>
      </c>
      <c r="H177" s="13" t="s">
        <v>1527</v>
      </c>
      <c r="I177" s="13" t="s">
        <v>1009</v>
      </c>
    </row>
    <row r="178" spans="1:9" s="13" customFormat="1" ht="12.75" customHeight="1">
      <c r="A178" s="74">
        <v>158</v>
      </c>
      <c r="B178" s="75" t="s">
        <v>4163</v>
      </c>
      <c r="C178" s="59" t="s">
        <v>4164</v>
      </c>
      <c r="F178" s="13" t="s">
        <v>1010</v>
      </c>
      <c r="G178" s="13" t="s">
        <v>1524</v>
      </c>
      <c r="H178" s="13" t="s">
        <v>1473</v>
      </c>
      <c r="I178" s="13" t="s">
        <v>1009</v>
      </c>
    </row>
    <row r="179" spans="1:9" s="13" customFormat="1" ht="12.75" customHeight="1">
      <c r="A179" s="74">
        <v>159</v>
      </c>
      <c r="B179" s="75" t="s">
        <v>3463</v>
      </c>
      <c r="C179" s="59" t="s">
        <v>4165</v>
      </c>
      <c r="F179" s="13" t="s">
        <v>1010</v>
      </c>
      <c r="G179" s="13" t="s">
        <v>1524</v>
      </c>
      <c r="H179" s="13" t="s">
        <v>1469</v>
      </c>
      <c r="I179" s="13" t="s">
        <v>1009</v>
      </c>
    </row>
    <row r="180" spans="1:9" s="13" customFormat="1" ht="12.75" customHeight="1">
      <c r="A180" s="74">
        <v>160</v>
      </c>
      <c r="B180" s="75" t="s">
        <v>4166</v>
      </c>
      <c r="C180" s="59" t="s">
        <v>4167</v>
      </c>
      <c r="F180" s="13" t="s">
        <v>1010</v>
      </c>
      <c r="G180" s="13" t="s">
        <v>1524</v>
      </c>
      <c r="H180" s="13" t="s">
        <v>1470</v>
      </c>
      <c r="I180" s="13" t="s">
        <v>1009</v>
      </c>
    </row>
    <row r="181" spans="1:9" s="13" customFormat="1" ht="12.75" customHeight="1">
      <c r="A181" s="74">
        <v>161</v>
      </c>
      <c r="B181" s="75" t="s">
        <v>4168</v>
      </c>
      <c r="C181" s="59" t="s">
        <v>4169</v>
      </c>
      <c r="F181" s="13" t="s">
        <v>1010</v>
      </c>
      <c r="G181" s="13" t="s">
        <v>1524</v>
      </c>
      <c r="H181" s="13" t="s">
        <v>1527</v>
      </c>
      <c r="I181" s="13" t="s">
        <v>1009</v>
      </c>
    </row>
    <row r="182" spans="1:9" s="13" customFormat="1" ht="12.75" customHeight="1">
      <c r="A182" s="74">
        <v>162</v>
      </c>
      <c r="B182" s="75" t="s">
        <v>4170</v>
      </c>
      <c r="C182" s="59" t="s">
        <v>4171</v>
      </c>
      <c r="F182" s="13" t="s">
        <v>1010</v>
      </c>
      <c r="G182" s="13" t="s">
        <v>1524</v>
      </c>
      <c r="H182" s="13" t="s">
        <v>1527</v>
      </c>
      <c r="I182" s="13" t="s">
        <v>1009</v>
      </c>
    </row>
    <row r="183" spans="1:9" s="13" customFormat="1" ht="12.75" customHeight="1">
      <c r="A183" s="74">
        <v>163</v>
      </c>
      <c r="B183" s="75" t="s">
        <v>4172</v>
      </c>
      <c r="C183" s="59" t="s">
        <v>4173</v>
      </c>
      <c r="F183" s="13" t="s">
        <v>1010</v>
      </c>
      <c r="G183" s="13" t="s">
        <v>1514</v>
      </c>
      <c r="H183" s="13" t="s">
        <v>1469</v>
      </c>
      <c r="I183" s="13" t="s">
        <v>1009</v>
      </c>
    </row>
    <row r="184" spans="1:9" s="13" customFormat="1" ht="12.75" customHeight="1">
      <c r="A184" s="74">
        <v>164</v>
      </c>
      <c r="B184" s="75" t="s">
        <v>2430</v>
      </c>
      <c r="C184" s="59" t="s">
        <v>4174</v>
      </c>
      <c r="F184" s="13" t="s">
        <v>1010</v>
      </c>
      <c r="G184" s="13" t="s">
        <v>1514</v>
      </c>
      <c r="H184" s="13" t="s">
        <v>1470</v>
      </c>
      <c r="I184" s="13" t="s">
        <v>1009</v>
      </c>
    </row>
    <row r="185" spans="1:9" s="13" customFormat="1" ht="12.75" customHeight="1">
      <c r="A185" s="74">
        <v>165</v>
      </c>
      <c r="B185" s="75" t="s">
        <v>4175</v>
      </c>
      <c r="C185" s="59" t="s">
        <v>4176</v>
      </c>
      <c r="F185" s="13" t="s">
        <v>1010</v>
      </c>
      <c r="G185" s="13" t="s">
        <v>1524</v>
      </c>
      <c r="H185" s="13" t="s">
        <v>1527</v>
      </c>
      <c r="I185" s="13" t="s">
        <v>1009</v>
      </c>
    </row>
    <row r="186" spans="1:9" s="13" customFormat="1" ht="12.75" customHeight="1">
      <c r="A186" s="74">
        <v>166</v>
      </c>
      <c r="B186" s="75" t="s">
        <v>4177</v>
      </c>
      <c r="C186" s="59" t="s">
        <v>4178</v>
      </c>
      <c r="F186" s="13" t="s">
        <v>1010</v>
      </c>
      <c r="G186" s="13" t="s">
        <v>1514</v>
      </c>
      <c r="H186" s="13" t="s">
        <v>1470</v>
      </c>
      <c r="I186" s="13" t="s">
        <v>1009</v>
      </c>
    </row>
    <row r="187" spans="1:9" s="13" customFormat="1" ht="12.75" customHeight="1">
      <c r="A187" s="74">
        <v>167</v>
      </c>
      <c r="B187" s="75" t="s">
        <v>4179</v>
      </c>
      <c r="C187" s="59" t="s">
        <v>4180</v>
      </c>
      <c r="F187" s="13" t="s">
        <v>1010</v>
      </c>
      <c r="G187" s="13" t="s">
        <v>1524</v>
      </c>
      <c r="H187" s="13" t="s">
        <v>1527</v>
      </c>
      <c r="I187" s="13" t="s">
        <v>1009</v>
      </c>
    </row>
    <row r="188" spans="1:9" s="13" customFormat="1" ht="12.75" customHeight="1">
      <c r="A188" s="74">
        <v>168</v>
      </c>
      <c r="B188" s="75" t="s">
        <v>4181</v>
      </c>
      <c r="C188" s="59" t="s">
        <v>4182</v>
      </c>
      <c r="F188" s="13" t="s">
        <v>1010</v>
      </c>
      <c r="G188" s="13" t="s">
        <v>1524</v>
      </c>
      <c r="H188" s="13" t="s">
        <v>1527</v>
      </c>
      <c r="I188" s="13" t="s">
        <v>1009</v>
      </c>
    </row>
    <row r="189" spans="1:9" s="13" customFormat="1" ht="12.75" customHeight="1">
      <c r="A189" s="74">
        <v>169</v>
      </c>
      <c r="B189" s="75" t="s">
        <v>4183</v>
      </c>
      <c r="C189" s="59" t="s">
        <v>4184</v>
      </c>
      <c r="F189" s="13" t="s">
        <v>1010</v>
      </c>
      <c r="G189" s="13" t="s">
        <v>1524</v>
      </c>
      <c r="H189" s="13" t="s">
        <v>1469</v>
      </c>
      <c r="I189" s="13" t="s">
        <v>1009</v>
      </c>
    </row>
    <row r="190" spans="1:9" s="13" customFormat="1" ht="12.75" customHeight="1">
      <c r="A190" s="74">
        <v>170</v>
      </c>
      <c r="B190" s="75" t="s">
        <v>4185</v>
      </c>
      <c r="C190" s="59" t="s">
        <v>4186</v>
      </c>
      <c r="F190" s="13" t="s">
        <v>1010</v>
      </c>
      <c r="G190" s="13" t="s">
        <v>1524</v>
      </c>
      <c r="H190" s="13" t="s">
        <v>1470</v>
      </c>
      <c r="I190" s="13" t="s">
        <v>1009</v>
      </c>
    </row>
    <row r="191" spans="1:9" s="13" customFormat="1" ht="12.75" customHeight="1">
      <c r="A191" s="74">
        <v>171</v>
      </c>
      <c r="B191" s="75" t="s">
        <v>4187</v>
      </c>
      <c r="C191" s="59" t="s">
        <v>4188</v>
      </c>
      <c r="F191" s="13" t="s">
        <v>1010</v>
      </c>
      <c r="G191" s="13" t="s">
        <v>1514</v>
      </c>
      <c r="H191" s="13" t="s">
        <v>4189</v>
      </c>
      <c r="I191" s="13" t="s">
        <v>1009</v>
      </c>
    </row>
    <row r="192" spans="1:9" s="13" customFormat="1" ht="12.75" customHeight="1">
      <c r="A192" s="74">
        <v>172</v>
      </c>
      <c r="B192" s="75" t="s">
        <v>4190</v>
      </c>
      <c r="C192" s="59" t="s">
        <v>4191</v>
      </c>
      <c r="F192" s="13" t="s">
        <v>1010</v>
      </c>
      <c r="G192" s="13" t="s">
        <v>1514</v>
      </c>
      <c r="H192" s="13" t="s">
        <v>1527</v>
      </c>
      <c r="I192" s="13" t="s">
        <v>1009</v>
      </c>
    </row>
    <row r="193" spans="1:9" s="13" customFormat="1" ht="12.75" customHeight="1">
      <c r="A193" s="74">
        <v>173</v>
      </c>
      <c r="B193" s="75" t="s">
        <v>4192</v>
      </c>
      <c r="C193" s="59" t="s">
        <v>4193</v>
      </c>
      <c r="F193" s="13" t="s">
        <v>1010</v>
      </c>
      <c r="G193" s="13" t="s">
        <v>1524</v>
      </c>
      <c r="H193" s="13" t="s">
        <v>1514</v>
      </c>
      <c r="I193" s="13" t="s">
        <v>1009</v>
      </c>
    </row>
    <row r="194" spans="1:9" s="13" customFormat="1" ht="12.75" customHeight="1">
      <c r="A194" s="74">
        <v>174</v>
      </c>
      <c r="B194" s="75" t="s">
        <v>4194</v>
      </c>
      <c r="C194" s="59" t="s">
        <v>4195</v>
      </c>
      <c r="F194" s="13" t="s">
        <v>1010</v>
      </c>
      <c r="G194" s="13" t="s">
        <v>1524</v>
      </c>
      <c r="H194" s="13" t="s">
        <v>1473</v>
      </c>
      <c r="I194" s="13" t="s">
        <v>1009</v>
      </c>
    </row>
    <row r="195" spans="1:9" s="13" customFormat="1" ht="12.75" customHeight="1">
      <c r="A195" s="74">
        <v>175</v>
      </c>
      <c r="B195" s="75" t="s">
        <v>4196</v>
      </c>
      <c r="C195" s="59" t="s">
        <v>4197</v>
      </c>
      <c r="F195" s="13" t="s">
        <v>1010</v>
      </c>
      <c r="G195" s="13" t="s">
        <v>1524</v>
      </c>
      <c r="H195" s="13" t="s">
        <v>1527</v>
      </c>
      <c r="I195" s="13" t="s">
        <v>1009</v>
      </c>
    </row>
    <row r="196" spans="1:9" s="13" customFormat="1" ht="12.75" customHeight="1">
      <c r="A196" s="74">
        <v>177</v>
      </c>
      <c r="B196" s="75" t="s">
        <v>4198</v>
      </c>
      <c r="C196" s="59" t="s">
        <v>4199</v>
      </c>
      <c r="F196" s="13" t="s">
        <v>1010</v>
      </c>
      <c r="G196" s="13" t="s">
        <v>1514</v>
      </c>
      <c r="H196" s="13" t="s">
        <v>1470</v>
      </c>
      <c r="I196" s="13" t="s">
        <v>1009</v>
      </c>
    </row>
    <row r="197" spans="1:9" s="13" customFormat="1" ht="12.75" customHeight="1">
      <c r="A197" s="74">
        <v>179</v>
      </c>
      <c r="B197" s="75" t="s">
        <v>3315</v>
      </c>
      <c r="C197" s="59" t="s">
        <v>4200</v>
      </c>
      <c r="F197" s="13" t="s">
        <v>1010</v>
      </c>
      <c r="G197" s="13" t="s">
        <v>1514</v>
      </c>
      <c r="H197" s="13" t="s">
        <v>1469</v>
      </c>
      <c r="I197" s="13" t="s">
        <v>1009</v>
      </c>
    </row>
    <row r="198" spans="1:9" s="13" customFormat="1" ht="12.75" customHeight="1">
      <c r="A198" s="74">
        <v>180</v>
      </c>
      <c r="B198" s="75" t="s">
        <v>4201</v>
      </c>
      <c r="C198" s="59" t="s">
        <v>4202</v>
      </c>
      <c r="F198" s="13" t="s">
        <v>1010</v>
      </c>
      <c r="G198" s="13" t="s">
        <v>1524</v>
      </c>
      <c r="H198" s="13" t="s">
        <v>1470</v>
      </c>
      <c r="I198" s="13" t="s">
        <v>1009</v>
      </c>
    </row>
    <row r="199" spans="1:9" s="13" customFormat="1" ht="12.75" customHeight="1">
      <c r="A199" s="74">
        <v>181</v>
      </c>
      <c r="B199" s="75" t="s">
        <v>4203</v>
      </c>
      <c r="C199" s="59" t="s">
        <v>4204</v>
      </c>
      <c r="F199" s="13" t="s">
        <v>1010</v>
      </c>
      <c r="G199" s="13" t="s">
        <v>1514</v>
      </c>
      <c r="H199" s="13" t="s">
        <v>1527</v>
      </c>
      <c r="I199" s="13" t="s">
        <v>1009</v>
      </c>
    </row>
    <row r="200" spans="1:9" s="13" customFormat="1" ht="12.75" customHeight="1">
      <c r="A200" s="74">
        <v>182</v>
      </c>
      <c r="B200" s="75" t="s">
        <v>4205</v>
      </c>
      <c r="C200" s="59" t="s">
        <v>4206</v>
      </c>
      <c r="F200" s="13" t="s">
        <v>1010</v>
      </c>
      <c r="G200" s="13" t="s">
        <v>1524</v>
      </c>
      <c r="H200" s="13" t="s">
        <v>1469</v>
      </c>
      <c r="I200" s="13" t="s">
        <v>1009</v>
      </c>
    </row>
    <row r="201" spans="1:9" s="13" customFormat="1" ht="12.75" customHeight="1">
      <c r="A201" s="74">
        <v>183</v>
      </c>
      <c r="B201" s="75" t="s">
        <v>4207</v>
      </c>
      <c r="C201" s="59" t="s">
        <v>4208</v>
      </c>
      <c r="F201" s="13" t="s">
        <v>1010</v>
      </c>
      <c r="G201" s="13" t="s">
        <v>1524</v>
      </c>
      <c r="H201" s="13" t="s">
        <v>1473</v>
      </c>
      <c r="I201" s="13" t="s">
        <v>1009</v>
      </c>
    </row>
    <row r="202" spans="1:9" s="13" customFormat="1" ht="12.75" customHeight="1">
      <c r="A202" s="74">
        <v>185</v>
      </c>
      <c r="B202" s="75" t="s">
        <v>4209</v>
      </c>
      <c r="C202" s="59" t="s">
        <v>4210</v>
      </c>
      <c r="F202" s="13" t="s">
        <v>1010</v>
      </c>
      <c r="G202" s="13" t="s">
        <v>1514</v>
      </c>
      <c r="H202" s="13" t="s">
        <v>1470</v>
      </c>
      <c r="I202" s="13" t="s">
        <v>1009</v>
      </c>
    </row>
    <row r="203" spans="1:9" s="13" customFormat="1" ht="12.75" customHeight="1">
      <c r="A203" s="74">
        <v>186</v>
      </c>
      <c r="B203" s="75" t="s">
        <v>4211</v>
      </c>
      <c r="C203" s="59" t="s">
        <v>4212</v>
      </c>
      <c r="F203" s="13" t="s">
        <v>1010</v>
      </c>
      <c r="G203" s="13" t="s">
        <v>1524</v>
      </c>
      <c r="H203" s="13" t="s">
        <v>1527</v>
      </c>
      <c r="I203" s="13" t="s">
        <v>1009</v>
      </c>
    </row>
    <row r="204" spans="1:9" s="13" customFormat="1" ht="12.75" customHeight="1">
      <c r="A204" s="74">
        <v>187</v>
      </c>
      <c r="B204" s="75" t="s">
        <v>4213</v>
      </c>
      <c r="C204" s="59" t="s">
        <v>4214</v>
      </c>
      <c r="F204" s="13" t="s">
        <v>1010</v>
      </c>
      <c r="G204" s="13" t="s">
        <v>1514</v>
      </c>
      <c r="H204" s="13" t="s">
        <v>1470</v>
      </c>
      <c r="I204" s="13" t="s">
        <v>1009</v>
      </c>
    </row>
    <row r="205" spans="1:9" s="13" customFormat="1" ht="12.75" customHeight="1">
      <c r="A205" s="74">
        <v>188</v>
      </c>
      <c r="B205" s="75" t="s">
        <v>4215</v>
      </c>
      <c r="C205" s="59" t="s">
        <v>4216</v>
      </c>
      <c r="F205" s="13" t="s">
        <v>1010</v>
      </c>
      <c r="G205" s="13" t="s">
        <v>1514</v>
      </c>
      <c r="H205" s="13" t="s">
        <v>1469</v>
      </c>
      <c r="I205" s="13" t="s">
        <v>1009</v>
      </c>
    </row>
    <row r="206" spans="1:9" s="13" customFormat="1" ht="12.75" customHeight="1">
      <c r="A206" s="74">
        <v>189</v>
      </c>
      <c r="B206" s="75" t="s">
        <v>4217</v>
      </c>
      <c r="C206" s="59" t="s">
        <v>4218</v>
      </c>
      <c r="F206" s="13" t="s">
        <v>1010</v>
      </c>
      <c r="G206" s="13" t="s">
        <v>1514</v>
      </c>
      <c r="H206" s="13" t="s">
        <v>1527</v>
      </c>
      <c r="I206" s="13" t="s">
        <v>1009</v>
      </c>
    </row>
    <row r="207" spans="1:9" s="13" customFormat="1" ht="12.75" customHeight="1">
      <c r="B207" s="59"/>
      <c r="C207" s="59"/>
      <c r="E207" s="35" t="s">
        <v>95</v>
      </c>
      <c r="F207" s="35">
        <f>COUNTA(F89:F206)</f>
        <v>118</v>
      </c>
    </row>
  </sheetData>
  <hyperlinks>
    <hyperlink ref="A89" r:id="rId1" display="http://www.westlaw.com/Find/Default.wl?rs=dfa1.0&amp;vr=2.0&amp;DB=780&amp;FindType=Y&amp;SerialNum=2016385175"/>
    <hyperlink ref="A90" r:id="rId2" display="http://www.westlaw.com/Find/Default.wl?rs=dfa1.0&amp;vr=2.0&amp;DB=780&amp;FindType=Y&amp;SerialNum=2016314012"/>
    <hyperlink ref="A91" r:id="rId3" display="http://www.westlaw.com/Find/Default.wl?rs=dfa1.0&amp;vr=2.0&amp;DB=780&amp;FindType=Y&amp;SerialNum=2016121453"/>
    <hyperlink ref="A92" r:id="rId4" display="http://www.westlaw.com/Find/Default.wl?rs=dfa1.0&amp;vr=2.0&amp;DB=506&amp;FindType=Y&amp;SerialNum=2016966258"/>
    <hyperlink ref="A93" r:id="rId5" display="http://www.westlaw.com/Find/Default.wl?rs=dfa1.0&amp;vr=2.0&amp;DB=506&amp;FindType=Y&amp;SerialNum=2016924163"/>
    <hyperlink ref="A94" r:id="rId6" display="http://www.westlaw.com/Find/Default.wl?rs=dfa1.0&amp;vr=2.0&amp;DB=506&amp;FindType=Y&amp;SerialNum=2016866237"/>
    <hyperlink ref="A95" r:id="rId7" display="http://www.westlaw.com/Find/Default.wl?rs=dfa1.0&amp;vr=2.0&amp;DB=506&amp;FindType=Y&amp;SerialNum=2016837165"/>
    <hyperlink ref="A96" r:id="rId8" display="http://www.westlaw.com/Find/Default.wl?rs=dfa1.0&amp;vr=2.0&amp;DB=506&amp;FindType=Y&amp;SerialNum=2016790587"/>
    <hyperlink ref="A97" r:id="rId9" display="http://www.westlaw.com/Find/Default.wl?rs=dfa1.0&amp;vr=2.0&amp;DB=6538&amp;FindType=Y&amp;SerialNum=2016772847"/>
    <hyperlink ref="A98" r:id="rId10" display="http://www.westlaw.com/Find/Default.wl?rs=dfa1.0&amp;vr=2.0&amp;DB=506&amp;FindType=Y&amp;SerialNum=2016688713"/>
    <hyperlink ref="A99" r:id="rId11" display="http://www.westlaw.com/Find/Default.wl?rs=dfa1.0&amp;vr=2.0&amp;DB=506&amp;FindType=Y&amp;SerialNum=2016669066"/>
    <hyperlink ref="A100" r:id="rId12" display="http://www.westlaw.com/Find/Default.wl?rs=dfa1.0&amp;vr=2.0&amp;DB=506&amp;FindType=Y&amp;SerialNum=2016632450"/>
    <hyperlink ref="A101" r:id="rId13" display="http://www.westlaw.com/Find/Default.wl?rs=dfa1.0&amp;vr=2.0&amp;DB=506&amp;FindType=Y&amp;SerialNum=2016565781"/>
    <hyperlink ref="A102" r:id="rId14" display="http://www.westlaw.com/Find/Default.wl?rs=dfa1.0&amp;vr=2.0&amp;DB=6538&amp;FindType=Y&amp;SerialNum=2016426100"/>
    <hyperlink ref="A103" r:id="rId15" display="http://www.westlaw.com/Find/Default.wl?rs=dfa1.0&amp;vr=2.0&amp;DB=506&amp;FindType=Y&amp;SerialNum=2016270446"/>
    <hyperlink ref="A104" r:id="rId16" display="http://www.westlaw.com/Find/Default.wl?rs=dfa1.0&amp;vr=2.0&amp;DB=506&amp;FindType=Y&amp;SerialNum=2016224150"/>
    <hyperlink ref="A105" r:id="rId17" display="http://www.westlaw.com/Find/Default.wl?rs=dfa1.0&amp;vr=2.0&amp;DB=506&amp;FindType=Y&amp;SerialNum=2016229447"/>
    <hyperlink ref="A106" r:id="rId18" display="http://www.westlaw.com/Find/Default.wl?rs=dfa1.0&amp;vr=2.0&amp;DB=506&amp;FindType=Y&amp;SerialNum=2016187169"/>
    <hyperlink ref="A107" r:id="rId19" display="http://www.westlaw.com/Find/Default.wl?rs=dfa1.0&amp;vr=2.0&amp;DB=506&amp;FindType=Y&amp;SerialNum=2016178311"/>
    <hyperlink ref="A108" r:id="rId20" display="http://www.westlaw.com/Find/Default.wl?rs=dfa1.0&amp;vr=2.0&amp;DB=506&amp;FindType=Y&amp;SerialNum=2016146239"/>
    <hyperlink ref="A109" r:id="rId21" display="http://www.westlaw.com/Find/Default.wl?rs=dfa1.0&amp;vr=2.0&amp;DB=506&amp;FindType=Y&amp;SerialNum=2015870202"/>
    <hyperlink ref="A110" r:id="rId22" display="http://www.westlaw.com/Find/Default.wl?rs=dfa1.0&amp;vr=2.0&amp;DB=506&amp;FindType=Y&amp;SerialNum=2015865563"/>
    <hyperlink ref="A111" r:id="rId23" display="http://www.westlaw.com/Find/Default.wl?rs=dfa1.0&amp;vr=2.0&amp;DB=506&amp;FindType=Y&amp;SerialNum=2015856396"/>
    <hyperlink ref="A112" r:id="rId24" display="http://www.westlaw.com/Find/Default.wl?rs=dfa1.0&amp;vr=2.0&amp;DB=506&amp;FindType=Y&amp;SerialNum=2015821705"/>
    <hyperlink ref="A113" r:id="rId25" display="http://www.westlaw.com/Find/Default.wl?rs=dfa1.0&amp;vr=2.0&amp;DB=506&amp;FindType=Y&amp;SerialNum=2015744179"/>
    <hyperlink ref="A114" r:id="rId26" display="http://www.westlaw.com/Find/Default.wl?rs=dfa1.0&amp;vr=2.0&amp;DB=506&amp;FindType=Y&amp;SerialNum=2015725725"/>
    <hyperlink ref="A115" r:id="rId27" display="http://www.westlaw.com/Find/Default.wl?rs=dfa1.0&amp;vr=2.0&amp;DB=506&amp;FindType=Y&amp;SerialNum=2015717095"/>
    <hyperlink ref="A116" r:id="rId28" display="http://www.westlaw.com/Find/Default.wl?rs=dfa1.0&amp;vr=2.0&amp;DB=506&amp;FindType=Y&amp;SerialNum=2015665661"/>
    <hyperlink ref="A117" r:id="rId29" display="http://www.westlaw.com/Find/Default.wl?rs=dfa1.0&amp;vr=2.0&amp;DB=506&amp;FindType=Y&amp;SerialNum=2015487680"/>
    <hyperlink ref="A118" r:id="rId30" display="http://www.westlaw.com/Find/Default.wl?rs=dfa1.0&amp;vr=2.0&amp;DB=506&amp;FindType=Y&amp;SerialNum=2015187970"/>
    <hyperlink ref="A119" r:id="rId31" display="http://www.westlaw.com/Find/Default.wl?rs=dfa1.0&amp;vr=2.0&amp;DB=506&amp;FindType=Y&amp;SerialNum=2014605642"/>
    <hyperlink ref="A120" r:id="rId32" display="http://www.westlaw.com/Find/Default.wl?rs=dfa1.0&amp;vr=2.0&amp;DB=506&amp;FindType=Y&amp;SerialNum=2014465259"/>
    <hyperlink ref="A121" r:id="rId33" display="http://www.westlaw.com/Find/Default.wl?rs=dfa1.0&amp;vr=2.0&amp;DB=506&amp;FindType=Y&amp;SerialNum=2014135649"/>
    <hyperlink ref="A122" r:id="rId34" display="http://www.westlaw.com/Find/Default.wl?rs=dfa1.0&amp;vr=2.0&amp;DB=6538&amp;FindType=Y&amp;SerialNum=2014113991"/>
    <hyperlink ref="A123" r:id="rId35" display="http://www.westlaw.com/Find/Default.wl?rs=dfa1.0&amp;vr=2.0&amp;DB=506&amp;FindType=Y&amp;SerialNum=2013921948"/>
    <hyperlink ref="A124" r:id="rId36" display="http://www.westlaw.com/Find/Default.wl?rs=dfa1.0&amp;vr=2.0&amp;DB=506&amp;FindType=Y&amp;SerialNum=2013861049"/>
    <hyperlink ref="A125" r:id="rId37" display="http://www.westlaw.com/Find/Default.wl?rs=dfa1.0&amp;vr=2.0&amp;DB=506&amp;FindType=Y&amp;SerialNum=2013816056"/>
    <hyperlink ref="A126" r:id="rId38" display="http://www.westlaw.com/Find/Default.wl?rs=dfa1.0&amp;vr=2.0&amp;DB=6538&amp;FindType=Y&amp;SerialNum=2013808080"/>
    <hyperlink ref="A127" r:id="rId39" display="http://www.westlaw.com/Find/Default.wl?rs=dfa1.0&amp;vr=2.0&amp;DB=6538&amp;FindType=Y&amp;SerialNum=2013681075"/>
    <hyperlink ref="A128" r:id="rId40" display="http://www.westlaw.com/Find/Default.wl?rs=dfa1.0&amp;vr=2.0&amp;DB=1554&amp;FindType=Y&amp;SerialNum=2017201742"/>
    <hyperlink ref="A129" r:id="rId41" display="http://www.westlaw.com/Find/Default.wl?rs=dfa1.0&amp;vr=2.0&amp;DB=4637&amp;FindType=Y&amp;SerialNum=2017202246"/>
    <hyperlink ref="A130" r:id="rId42" display="http://www.westlaw.com/Find/Default.wl?rs=dfa1.0&amp;vr=2.0&amp;FindType=Y&amp;SerialNum=2017204208"/>
    <hyperlink ref="A131" r:id="rId43" display="http://www.westlaw.com/Find/Default.wl?rs=dfa1.0&amp;vr=2.0&amp;FindType=Y&amp;SerialNum=2017181455"/>
    <hyperlink ref="A132" r:id="rId44" display="http://www.westlaw.com/Find/Default.wl?rs=dfa1.0&amp;vr=2.0&amp;DB=4637&amp;FindType=Y&amp;SerialNum=2017147451"/>
    <hyperlink ref="A133" r:id="rId45" display="http://www.westlaw.com/Find/Default.wl?rs=dfa1.0&amp;vr=2.0&amp;FindType=Y&amp;SerialNum=2017103330"/>
    <hyperlink ref="A134" r:id="rId46" display="http://www.westlaw.com/Find/Default.wl?rs=dfa1.0&amp;vr=2.0&amp;FindType=Y&amp;SerialNum=2016966387"/>
    <hyperlink ref="A135" r:id="rId47" display="http://www.westlaw.com/Find/Default.wl?rs=dfa1.0&amp;vr=2.0&amp;FindType=Y&amp;SerialNum=2016966392"/>
    <hyperlink ref="A136" r:id="rId48" display="http://www.westlaw.com/Find/Default.wl?rs=dfa1.0&amp;vr=2.0&amp;FindType=Y&amp;SerialNum=2016977228"/>
    <hyperlink ref="A137" r:id="rId49" display="http://www.westlaw.com/Find/Default.wl?rs=dfa1.0&amp;vr=2.0&amp;FindType=Y&amp;SerialNum=2016945585"/>
    <hyperlink ref="A138" r:id="rId50" display="http://www.westlaw.com/Find/Default.wl?rs=dfa1.0&amp;vr=2.0&amp;DB=4637&amp;FindType=Y&amp;SerialNum=2016910875"/>
    <hyperlink ref="A139" r:id="rId51" display="http://www.westlaw.com/Find/Default.wl?rs=dfa1.0&amp;vr=2.0&amp;FindType=Y&amp;SerialNum=2016866989"/>
    <hyperlink ref="A140" r:id="rId52" display="http://www.westlaw.com/Find/Default.wl?rs=dfa1.0&amp;vr=2.0&amp;FindType=Y&amp;SerialNum=2016889522"/>
    <hyperlink ref="A141" r:id="rId53" display="http://www.westlaw.com/Find/Default.wl?rs=dfa1.0&amp;vr=2.0&amp;FindType=Y&amp;SerialNum=2016893091"/>
    <hyperlink ref="A142" r:id="rId54" display="http://www.westlaw.com/Find/Default.wl?rs=dfa1.0&amp;vr=2.0&amp;DB=4637&amp;FindType=Y&amp;SerialNum=2016737753"/>
    <hyperlink ref="A143" r:id="rId55" display="http://www.westlaw.com/Find/Default.wl?rs=dfa1.0&amp;vr=2.0&amp;FindType=Y&amp;SerialNum=2017153641"/>
    <hyperlink ref="A144" r:id="rId56" display="http://www.westlaw.com/Find/Default.wl?rs=dfa1.0&amp;vr=2.0&amp;DB=26&amp;FindType=Y&amp;SerialNum=2016718741"/>
    <hyperlink ref="A145" r:id="rId57" display="http://www.westlaw.com/Find/Default.wl?rs=dfa1.0&amp;vr=2.0&amp;FindType=Y&amp;SerialNum=2016716224"/>
    <hyperlink ref="A146" r:id="rId58" display="http://www.westlaw.com/Find/Default.wl?rs=dfa1.0&amp;vr=2.0&amp;DB=4637&amp;FindType=Y&amp;SerialNum=2016669074"/>
    <hyperlink ref="A147" r:id="rId59" display="http://www.westlaw.com/Find/Default.wl?rs=dfa1.0&amp;vr=2.0&amp;DB=4637&amp;FindType=Y&amp;SerialNum=2016693492"/>
    <hyperlink ref="A148" r:id="rId60" display="http://www.westlaw.com/Find/Default.wl?rs=dfa1.0&amp;vr=2.0&amp;FindType=Y&amp;SerialNum=2016694377"/>
    <hyperlink ref="A149" r:id="rId61" display="http://www.westlaw.com/Find/Default.wl?rs=dfa1.0&amp;vr=2.0&amp;DB=4637&amp;FindType=Y&amp;SerialNum=2016612295"/>
    <hyperlink ref="A150" r:id="rId62" display="http://www.westlaw.com/Find/Default.wl?rs=dfa1.0&amp;vr=2.0&amp;DB=4637&amp;FindType=Y&amp;SerialNum=2016974155"/>
    <hyperlink ref="A151" r:id="rId63" display="http://www.westlaw.com/Find/Default.wl?rs=dfa1.0&amp;vr=2.0&amp;DB=4637&amp;FindType=Y&amp;SerialNum=2016942396"/>
    <hyperlink ref="A152" r:id="rId64" display="http://www.westlaw.com/Find/Default.wl?rs=dfa1.0&amp;vr=2.0&amp;FindType=Y&amp;SerialNum=2016311342"/>
    <hyperlink ref="A153" r:id="rId65" display="http://www.westlaw.com/Find/Default.wl?rs=dfa1.0&amp;vr=2.0&amp;FindType=Y&amp;SerialNum=2016315933"/>
    <hyperlink ref="A154" r:id="rId66" display="http://www.westlaw.com/Find/Default.wl?rs=dfa1.0&amp;vr=2.0&amp;FindType=Y&amp;SerialNum=2016315930"/>
    <hyperlink ref="A155" r:id="rId67" display="http://www.westlaw.com/Find/Default.wl?rs=dfa1.0&amp;vr=2.0&amp;DB=4637&amp;FindType=Y&amp;SerialNum=2016205078"/>
    <hyperlink ref="A156" r:id="rId68" display="http://www.westlaw.com/Find/Default.wl?rs=dfa1.0&amp;vr=2.0&amp;DB=4637&amp;FindType=Y&amp;SerialNum=2016132744"/>
    <hyperlink ref="A157" r:id="rId69" display="http://www.westlaw.com/Find/Default.wl?rs=dfa1.0&amp;vr=2.0&amp;FindType=Y&amp;SerialNum=2016126240"/>
    <hyperlink ref="A158" r:id="rId70" display="http://www.westlaw.com/Find/Default.wl?rs=dfa1.0&amp;vr=2.0&amp;FindType=Y&amp;SerialNum=2016145240"/>
    <hyperlink ref="A159" r:id="rId71" display="http://www.westlaw.com/Find/Default.wl?rs=dfa1.0&amp;vr=2.0&amp;FindType=Y&amp;SerialNum=2016932106"/>
    <hyperlink ref="A160" r:id="rId72" display="http://www.westlaw.com/Find/Default.wl?rs=dfa1.0&amp;vr=2.0&amp;DB=4637&amp;FindType=Y&amp;SerialNum=2016087041"/>
    <hyperlink ref="A161" r:id="rId73" display="http://www.westlaw.com/Find/Default.wl?rs=dfa1.0&amp;vr=2.0&amp;FindType=Y&amp;SerialNum=2016095499"/>
    <hyperlink ref="A162" r:id="rId74" display="http://www.westlaw.com/Find/Default.wl?rs=dfa1.0&amp;vr=2.0&amp;DB=4637&amp;FindType=Y&amp;SerialNum=2015983713"/>
    <hyperlink ref="A163" r:id="rId75" display="http://www.westlaw.com/Find/Default.wl?rs=dfa1.0&amp;vr=2.0&amp;FindType=Y&amp;SerialNum=2015961124"/>
    <hyperlink ref="A164" r:id="rId76" display="http://www.westlaw.com/Find/Default.wl?rs=dfa1.0&amp;vr=2.0&amp;FindType=Y&amp;SerialNum=2015948089"/>
    <hyperlink ref="A165" r:id="rId77" display="http://www.westlaw.com/Find/Default.wl?rs=dfa1.0&amp;vr=2.0&amp;DB=4637&amp;FindType=Y&amp;SerialNum=2015910398"/>
    <hyperlink ref="A166" r:id="rId78" display="http://www.westlaw.com/Find/Default.wl?rs=dfa1.0&amp;vr=2.0&amp;FindType=Y&amp;SerialNum=2015891732"/>
    <hyperlink ref="A167" r:id="rId79" display="http://www.westlaw.com/Find/Default.wl?rs=dfa1.0&amp;vr=2.0&amp;FindType=Y&amp;SerialNum=2015815275"/>
    <hyperlink ref="A168" r:id="rId80" display="http://www.westlaw.com/Find/Default.wl?rs=dfa1.0&amp;vr=2.0&amp;DB=4637&amp;FindType=Y&amp;SerialNum=2015821821"/>
    <hyperlink ref="A169" r:id="rId81" display="http://www.westlaw.com/Find/Default.wl?rs=dfa1.0&amp;vr=2.0&amp;DB=4637&amp;FindType=Y&amp;SerialNum=2015776110"/>
    <hyperlink ref="A170" r:id="rId82" display="http://www.westlaw.com/Find/Default.wl?rs=dfa1.0&amp;vr=2.0&amp;FindType=Y&amp;SerialNum=2015648228"/>
    <hyperlink ref="A171" r:id="rId83" display="http://www.westlaw.com/Find/Default.wl?rs=dfa1.0&amp;vr=2.0&amp;FindType=Y&amp;SerialNum=2015661725"/>
    <hyperlink ref="A172" r:id="rId84" display="http://www.westlaw.com/Find/Default.wl?rs=dfa1.0&amp;vr=2.0&amp;FindType=Y&amp;SerialNum=2018690867"/>
    <hyperlink ref="A173" r:id="rId85" display="http://www.westlaw.com/Find/Default.wl?rs=dfa1.0&amp;vr=2.0&amp;FindType=Y&amp;SerialNum=2015570813"/>
    <hyperlink ref="A174" r:id="rId86" display="http://www.westlaw.com/Find/Default.wl?rs=dfa1.0&amp;vr=2.0&amp;FindType=Y&amp;SerialNum=2015553538"/>
    <hyperlink ref="A175" r:id="rId87" display="http://www.westlaw.com/Find/Default.wl?rs=dfa1.0&amp;vr=2.0&amp;FindType=Y&amp;SerialNum=2015505988"/>
    <hyperlink ref="A176" r:id="rId88" display="http://www.westlaw.com/Find/Default.wl?rs=dfa1.0&amp;vr=2.0&amp;FindType=Y&amp;SerialNum=2015443430"/>
    <hyperlink ref="A177" r:id="rId89" display="http://www.westlaw.com/Find/Default.wl?rs=dfa1.0&amp;vr=2.0&amp;FindType=Y&amp;SerialNum=2015410526"/>
    <hyperlink ref="A178" r:id="rId90" display="http://www.westlaw.com/Find/Default.wl?rs=dfa1.0&amp;vr=2.0&amp;DB=4637&amp;FindType=Y&amp;SerialNum=2015342561"/>
    <hyperlink ref="A179" r:id="rId91" display="http://www.westlaw.com/Find/Default.wl?rs=dfa1.0&amp;vr=2.0&amp;DB=4637&amp;FindType=Y&amp;SerialNum=2015273872"/>
    <hyperlink ref="A180" r:id="rId92" display="http://www.westlaw.com/Find/Default.wl?rs=dfa1.0&amp;vr=2.0&amp;DB=25&amp;FindType=Y&amp;SerialNum=2015251757"/>
    <hyperlink ref="A181" r:id="rId93" display="http://www.westlaw.com/Find/Default.wl?rs=dfa1.0&amp;vr=2.0&amp;FindType=Y&amp;SerialNum=2015246888"/>
    <hyperlink ref="A182" r:id="rId94" display="http://www.westlaw.com/Find/Default.wl?rs=dfa1.0&amp;vr=2.0&amp;FindType=Y&amp;SerialNum=2015172192"/>
    <hyperlink ref="A183" r:id="rId95" display="http://www.westlaw.com/Find/Default.wl?rs=dfa1.0&amp;vr=2.0&amp;DB=4637&amp;FindType=Y&amp;SerialNum=2015404071"/>
    <hyperlink ref="A184" r:id="rId96" display="http://www.westlaw.com/Find/Default.wl?rs=dfa1.0&amp;vr=2.0&amp;FindType=Y&amp;SerialNum=2015106912"/>
    <hyperlink ref="A185" r:id="rId97" display="http://www.westlaw.com/Find/Default.wl?rs=dfa1.0&amp;vr=2.0&amp;FindType=Y&amp;SerialNum=2014916428"/>
    <hyperlink ref="A186" r:id="rId98" display="http://www.westlaw.com/Find/Default.wl?rs=dfa1.0&amp;vr=2.0&amp;DB=4637&amp;FindType=Y&amp;SerialNum=2014958951"/>
    <hyperlink ref="A187" r:id="rId99" display="http://www.westlaw.com/Find/Default.wl?rs=dfa1.0&amp;vr=2.0&amp;DB=4637&amp;FindType=Y&amp;SerialNum=2015173754"/>
    <hyperlink ref="A188" r:id="rId100" display="http://www.westlaw.com/Find/Default.wl?rs=dfa1.0&amp;vr=2.0&amp;FindType=Y&amp;SerialNum=2014901207"/>
    <hyperlink ref="A189" r:id="rId101" display="http://www.westlaw.com/Find/Default.wl?rs=dfa1.0&amp;vr=2.0&amp;FindType=Y&amp;SerialNum=2014892363"/>
    <hyperlink ref="A190" r:id="rId102" display="http://www.westlaw.com/Find/Default.wl?rs=dfa1.0&amp;vr=2.0&amp;DB=4637&amp;FindType=Y&amp;SerialNum=2014735975"/>
    <hyperlink ref="A191" r:id="rId103" display="http://www.westlaw.com/Find/Default.wl?rs=dfa1.0&amp;vr=2.0&amp;FindType=Y&amp;SerialNum=2017279814"/>
    <hyperlink ref="A192" r:id="rId104" display="http://www.westlaw.com/Find/Default.wl?rs=dfa1.0&amp;vr=2.0&amp;DB=164&amp;FindType=Y&amp;SerialNum=2015125168"/>
    <hyperlink ref="A193" r:id="rId105" display="http://www.westlaw.com/Find/Default.wl?rs=dfa1.0&amp;vr=2.0&amp;DB=4637&amp;FindType=Y&amp;SerialNum=2014528163"/>
    <hyperlink ref="A194" r:id="rId106" display="http://www.westlaw.com/Find/Default.wl?rs=dfa1.0&amp;vr=2.0&amp;DB=4637&amp;FindType=Y&amp;SerialNum=2014528370"/>
    <hyperlink ref="A195" r:id="rId107" display="http://www.westlaw.com/Find/Default.wl?rs=dfa1.0&amp;vr=2.0&amp;DB=4637&amp;FindType=Y&amp;SerialNum=2014506356"/>
    <hyperlink ref="A196" r:id="rId108" display="http://www.westlaw.com/Find/Default.wl?rs=dfa1.0&amp;vr=2.0&amp;FindType=Y&amp;SerialNum=2014240247"/>
    <hyperlink ref="A197" r:id="rId109" display="http://www.westlaw.com/Find/Default.wl?rs=dfa1.0&amp;vr=2.0&amp;FindType=Y&amp;SerialNum=2014145041"/>
    <hyperlink ref="A198" r:id="rId110" display="http://www.westlaw.com/Find/Default.wl?rs=dfa1.0&amp;vr=2.0&amp;DB=4637&amp;FindType=Y&amp;SerialNum=2014087259"/>
    <hyperlink ref="A199" r:id="rId111" display="http://www.westlaw.com/Find/Default.wl?rs=dfa1.0&amp;vr=2.0&amp;DB=164&amp;FindType=Y&amp;SerialNum=2014247024"/>
    <hyperlink ref="A200" r:id="rId112" display="http://www.westlaw.com/Find/Default.wl?rs=dfa1.0&amp;vr=2.0&amp;FindType=Y&amp;SerialNum=2013921966"/>
    <hyperlink ref="A201" r:id="rId113" display="http://www.westlaw.com/Find/Default.wl?rs=dfa1.0&amp;vr=2.0&amp;DB=76&amp;FindType=Y&amp;SerialNum=2013915703"/>
    <hyperlink ref="A202" r:id="rId114" display="http://www.westlaw.com/Find/Default.wl?rs=dfa1.0&amp;vr=2.0&amp;DB=4637&amp;FindType=Y&amp;SerialNum=2013721784"/>
    <hyperlink ref="A203" r:id="rId115" display="http://www.westlaw.com/Find/Default.wl?rs=dfa1.0&amp;vr=2.0&amp;FindType=Y&amp;SerialNum=2013681783"/>
    <hyperlink ref="A204" r:id="rId116" display="http://www.westlaw.com/Find/Default.wl?rs=dfa1.0&amp;vr=2.0&amp;FindType=Y&amp;SerialNum=2013625278"/>
    <hyperlink ref="A205" r:id="rId117" display="http://www.westlaw.com/Find/Default.wl?rs=dfa1.0&amp;vr=2.0&amp;DB=4637&amp;FindType=Y&amp;SerialNum=2013392480"/>
    <hyperlink ref="A206" r:id="rId118" display="http://www.westlaw.com/Find/Default.wl?rs=dfa1.0&amp;vr=2.0&amp;DB=1051&amp;FindType=Y&amp;SerialNum=2016140501"/>
  </hyperlink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8"/>
  <sheetViews>
    <sheetView zoomScale="55" zoomScaleNormal="55" zoomScalePageLayoutView="55" workbookViewId="0"/>
  </sheetViews>
  <sheetFormatPr baseColWidth="10" defaultColWidth="8.83203125" defaultRowHeight="14" x14ac:dyDescent="0"/>
  <cols>
    <col min="1" max="1" width="14.5" bestFit="1" customWidth="1"/>
    <col min="2" max="2" width="44.5" customWidth="1"/>
    <col min="3" max="3" width="13" customWidth="1"/>
    <col min="4" max="4" width="15" customWidth="1"/>
    <col min="5" max="5" width="18" customWidth="1"/>
    <col min="6" max="6" width="21" customWidth="1"/>
    <col min="7" max="7" width="10" customWidth="1"/>
    <col min="8" max="8" width="13.5" bestFit="1" customWidth="1"/>
    <col min="9" max="9" width="9" customWidth="1"/>
    <col min="10" max="10" width="10" customWidth="1"/>
    <col min="11" max="11" width="35.83203125" customWidth="1"/>
    <col min="12" max="12" width="13" customWidth="1"/>
    <col min="13" max="14" width="10" customWidth="1"/>
    <col min="15" max="15" width="14" customWidth="1"/>
    <col min="16" max="16" width="12" customWidth="1"/>
    <col min="17" max="17" width="34.5" bestFit="1" customWidth="1"/>
    <col min="18" max="18" width="32" customWidth="1"/>
    <col min="19" max="19" width="10" customWidth="1"/>
  </cols>
  <sheetData>
    <row r="1" spans="1:21" ht="37">
      <c r="A1" s="3" t="s">
        <v>5</v>
      </c>
      <c r="B1" s="3" t="s">
        <v>977</v>
      </c>
      <c r="C1" s="3" t="s">
        <v>7</v>
      </c>
      <c r="D1" s="3" t="s">
        <v>8</v>
      </c>
      <c r="E1" s="3" t="s">
        <v>9</v>
      </c>
      <c r="F1" s="3" t="s">
        <v>10</v>
      </c>
      <c r="G1" s="3" t="s">
        <v>14</v>
      </c>
      <c r="H1" s="3" t="s">
        <v>15</v>
      </c>
      <c r="I1" s="3" t="s">
        <v>978</v>
      </c>
      <c r="J1" s="3" t="s">
        <v>11</v>
      </c>
      <c r="K1" s="3" t="s">
        <v>979</v>
      </c>
      <c r="L1" s="4" t="s">
        <v>980</v>
      </c>
    </row>
    <row r="2" spans="1:21">
      <c r="A2">
        <f>COUNTA(Q5:Q11)</f>
        <v>7</v>
      </c>
      <c r="B2">
        <f>COUNTA(U5:U7)</f>
        <v>3</v>
      </c>
      <c r="C2">
        <v>0</v>
      </c>
      <c r="D2">
        <v>0</v>
      </c>
      <c r="E2">
        <f>COUNTA(Q22:Q30)</f>
        <v>9</v>
      </c>
      <c r="F2">
        <f>COUNTA(Q14:Q19)</f>
        <v>6</v>
      </c>
      <c r="G2" s="130">
        <f>D100</f>
        <v>2</v>
      </c>
      <c r="H2">
        <v>0</v>
      </c>
      <c r="I2">
        <f>COUNTA(B33:B84)</f>
        <v>52</v>
      </c>
      <c r="J2">
        <v>9</v>
      </c>
      <c r="K2">
        <v>0</v>
      </c>
      <c r="L2">
        <f>F238</f>
        <v>133</v>
      </c>
    </row>
    <row r="4" spans="1:21" ht="84">
      <c r="A4" s="37" t="s">
        <v>981</v>
      </c>
      <c r="B4" s="37" t="s">
        <v>982</v>
      </c>
      <c r="C4" s="38" t="s">
        <v>983</v>
      </c>
      <c r="D4" s="38" t="s">
        <v>984</v>
      </c>
      <c r="E4" s="38" t="s">
        <v>985</v>
      </c>
      <c r="F4" s="38" t="s">
        <v>986</v>
      </c>
      <c r="G4" s="37" t="s">
        <v>987</v>
      </c>
      <c r="H4" s="37" t="s">
        <v>988</v>
      </c>
      <c r="I4" s="38" t="s">
        <v>989</v>
      </c>
      <c r="J4" s="38" t="s">
        <v>990</v>
      </c>
      <c r="K4" s="38" t="s">
        <v>991</v>
      </c>
      <c r="L4" s="37" t="s">
        <v>992</v>
      </c>
      <c r="M4" s="37" t="s">
        <v>993</v>
      </c>
      <c r="N4" s="37" t="s">
        <v>994</v>
      </c>
      <c r="O4" s="37" t="s">
        <v>995</v>
      </c>
      <c r="P4" s="38" t="s">
        <v>996</v>
      </c>
      <c r="Q4" s="37" t="s">
        <v>997</v>
      </c>
      <c r="R4" s="37" t="s">
        <v>998</v>
      </c>
      <c r="S4" s="37" t="s">
        <v>999</v>
      </c>
      <c r="T4" s="37" t="s">
        <v>2884</v>
      </c>
      <c r="U4" s="37" t="s">
        <v>2885</v>
      </c>
    </row>
    <row r="5" spans="1:21">
      <c r="A5" s="39">
        <v>39834</v>
      </c>
      <c r="B5">
        <v>1</v>
      </c>
      <c r="D5" s="40" t="s">
        <v>2886</v>
      </c>
      <c r="E5" s="40" t="s">
        <v>2887</v>
      </c>
      <c r="F5" s="40" t="s">
        <v>2888</v>
      </c>
      <c r="G5">
        <v>2008</v>
      </c>
      <c r="H5">
        <v>1702</v>
      </c>
      <c r="I5" s="40" t="s">
        <v>1005</v>
      </c>
      <c r="J5" s="40" t="s">
        <v>2889</v>
      </c>
      <c r="K5" s="40" t="s">
        <v>2890</v>
      </c>
      <c r="L5" s="39">
        <v>39735</v>
      </c>
      <c r="M5">
        <v>9</v>
      </c>
      <c r="N5">
        <v>0</v>
      </c>
      <c r="O5">
        <v>111</v>
      </c>
      <c r="P5" s="40" t="s">
        <v>1008</v>
      </c>
      <c r="Q5">
        <v>1</v>
      </c>
      <c r="R5">
        <v>2</v>
      </c>
      <c r="S5">
        <v>2</v>
      </c>
      <c r="T5" t="s">
        <v>1009</v>
      </c>
      <c r="U5" t="s">
        <v>1010</v>
      </c>
    </row>
    <row r="6" spans="1:21">
      <c r="A6" s="39">
        <v>39834</v>
      </c>
      <c r="B6">
        <v>1</v>
      </c>
      <c r="D6" s="40" t="s">
        <v>2891</v>
      </c>
      <c r="E6" s="40" t="s">
        <v>2892</v>
      </c>
      <c r="F6" s="40" t="s">
        <v>2893</v>
      </c>
      <c r="G6">
        <v>2008</v>
      </c>
      <c r="H6">
        <v>1702</v>
      </c>
      <c r="I6" s="40" t="s">
        <v>1005</v>
      </c>
      <c r="J6" s="40" t="s">
        <v>2894</v>
      </c>
      <c r="K6" s="40" t="s">
        <v>2895</v>
      </c>
      <c r="L6" s="39">
        <v>39784</v>
      </c>
      <c r="M6">
        <v>9</v>
      </c>
      <c r="N6">
        <v>0</v>
      </c>
      <c r="O6">
        <v>111</v>
      </c>
      <c r="P6" s="40" t="s">
        <v>1008</v>
      </c>
      <c r="Q6">
        <v>1</v>
      </c>
      <c r="R6">
        <v>2</v>
      </c>
      <c r="S6">
        <v>2</v>
      </c>
      <c r="T6" t="s">
        <v>1009</v>
      </c>
      <c r="U6" t="s">
        <v>1010</v>
      </c>
    </row>
    <row r="7" spans="1:21">
      <c r="A7" s="39">
        <v>39903</v>
      </c>
      <c r="B7">
        <v>1</v>
      </c>
      <c r="D7" s="40" t="s">
        <v>2896</v>
      </c>
      <c r="E7" s="40" t="s">
        <v>2897</v>
      </c>
      <c r="F7" s="40" t="s">
        <v>2898</v>
      </c>
      <c r="G7">
        <v>2008</v>
      </c>
      <c r="H7">
        <v>1702</v>
      </c>
      <c r="I7" s="40" t="s">
        <v>1005</v>
      </c>
      <c r="J7" s="40" t="s">
        <v>2899</v>
      </c>
      <c r="K7" s="40" t="s">
        <v>2900</v>
      </c>
      <c r="L7" s="39">
        <v>39869</v>
      </c>
      <c r="M7">
        <v>9</v>
      </c>
      <c r="N7">
        <v>0</v>
      </c>
      <c r="O7">
        <v>111</v>
      </c>
      <c r="P7" s="40" t="s">
        <v>1008</v>
      </c>
      <c r="Q7">
        <v>1</v>
      </c>
      <c r="R7">
        <v>2</v>
      </c>
      <c r="S7">
        <v>2</v>
      </c>
      <c r="T7" t="s">
        <v>1009</v>
      </c>
      <c r="U7" t="s">
        <v>1010</v>
      </c>
    </row>
    <row r="8" spans="1:21">
      <c r="A8" s="39">
        <v>39869</v>
      </c>
      <c r="B8">
        <v>1</v>
      </c>
      <c r="D8" s="40" t="s">
        <v>2901</v>
      </c>
      <c r="E8" s="40" t="s">
        <v>2902</v>
      </c>
      <c r="F8" s="40" t="s">
        <v>2903</v>
      </c>
      <c r="G8">
        <v>2008</v>
      </c>
      <c r="H8">
        <v>1702</v>
      </c>
      <c r="I8" s="40" t="s">
        <v>1005</v>
      </c>
      <c r="J8" s="40" t="s">
        <v>2904</v>
      </c>
      <c r="K8" s="40" t="s">
        <v>2905</v>
      </c>
      <c r="L8" s="39">
        <v>39764</v>
      </c>
      <c r="M8">
        <v>9</v>
      </c>
      <c r="N8">
        <v>0</v>
      </c>
      <c r="O8">
        <v>111</v>
      </c>
      <c r="P8" s="40" t="s">
        <v>1008</v>
      </c>
      <c r="Q8">
        <v>1</v>
      </c>
      <c r="R8">
        <v>2</v>
      </c>
      <c r="S8">
        <v>2</v>
      </c>
      <c r="T8" t="s">
        <v>1009</v>
      </c>
      <c r="U8" t="s">
        <v>1009</v>
      </c>
    </row>
    <row r="9" spans="1:21">
      <c r="A9" s="39">
        <v>39881</v>
      </c>
      <c r="B9">
        <v>1</v>
      </c>
      <c r="D9" s="40" t="s">
        <v>2906</v>
      </c>
      <c r="E9" s="40" t="s">
        <v>2907</v>
      </c>
      <c r="F9" s="40" t="s">
        <v>2908</v>
      </c>
      <c r="G9">
        <v>2008</v>
      </c>
      <c r="H9">
        <v>1702</v>
      </c>
      <c r="I9" s="40" t="s">
        <v>1005</v>
      </c>
      <c r="J9" s="40" t="s">
        <v>2909</v>
      </c>
      <c r="K9" s="40" t="s">
        <v>2910</v>
      </c>
      <c r="L9" s="39">
        <v>39783</v>
      </c>
      <c r="M9">
        <v>9</v>
      </c>
      <c r="N9">
        <v>0</v>
      </c>
      <c r="O9">
        <v>111</v>
      </c>
      <c r="P9" s="40" t="s">
        <v>1008</v>
      </c>
      <c r="Q9">
        <v>1</v>
      </c>
      <c r="R9">
        <v>2</v>
      </c>
      <c r="S9">
        <v>2</v>
      </c>
      <c r="T9" t="s">
        <v>1009</v>
      </c>
      <c r="U9" t="s">
        <v>1009</v>
      </c>
    </row>
    <row r="10" spans="1:21">
      <c r="A10" s="39">
        <v>39972</v>
      </c>
      <c r="B10">
        <v>1</v>
      </c>
      <c r="D10" s="40" t="s">
        <v>2911</v>
      </c>
      <c r="E10" s="40" t="s">
        <v>2912</v>
      </c>
      <c r="F10" s="40" t="s">
        <v>2913</v>
      </c>
      <c r="G10">
        <v>2008</v>
      </c>
      <c r="H10">
        <v>1702</v>
      </c>
      <c r="I10" s="40" t="s">
        <v>1005</v>
      </c>
      <c r="J10" s="40" t="s">
        <v>2914</v>
      </c>
      <c r="K10" s="40" t="s">
        <v>2915</v>
      </c>
      <c r="L10" s="39">
        <v>39827</v>
      </c>
      <c r="M10">
        <v>7</v>
      </c>
      <c r="N10">
        <v>2</v>
      </c>
      <c r="O10">
        <v>111</v>
      </c>
      <c r="P10" s="40" t="s">
        <v>1008</v>
      </c>
      <c r="Q10">
        <v>1</v>
      </c>
      <c r="R10">
        <v>2</v>
      </c>
      <c r="S10">
        <v>2</v>
      </c>
      <c r="T10" t="s">
        <v>1009</v>
      </c>
      <c r="U10" t="s">
        <v>1009</v>
      </c>
    </row>
    <row r="11" spans="1:21">
      <c r="A11" s="39">
        <v>39989</v>
      </c>
      <c r="B11">
        <v>1</v>
      </c>
      <c r="D11" s="40" t="s">
        <v>2916</v>
      </c>
      <c r="E11" s="40" t="s">
        <v>2917</v>
      </c>
      <c r="F11" s="40" t="s">
        <v>2918</v>
      </c>
      <c r="G11">
        <v>2008</v>
      </c>
      <c r="H11">
        <v>1702</v>
      </c>
      <c r="I11" s="40" t="s">
        <v>1005</v>
      </c>
      <c r="J11" s="40" t="s">
        <v>2919</v>
      </c>
      <c r="K11" s="40" t="s">
        <v>2920</v>
      </c>
      <c r="L11" s="39">
        <v>39923</v>
      </c>
      <c r="M11">
        <v>5</v>
      </c>
      <c r="N11">
        <v>4</v>
      </c>
      <c r="O11">
        <v>111</v>
      </c>
      <c r="P11" s="40" t="s">
        <v>1008</v>
      </c>
      <c r="Q11">
        <v>1</v>
      </c>
      <c r="R11">
        <v>2</v>
      </c>
      <c r="S11">
        <v>2</v>
      </c>
      <c r="T11" t="s">
        <v>1009</v>
      </c>
      <c r="U11" t="s">
        <v>1009</v>
      </c>
    </row>
    <row r="12" spans="1:21">
      <c r="A12" s="39"/>
      <c r="D12" s="40"/>
      <c r="E12" s="40"/>
      <c r="F12" s="40"/>
      <c r="I12" s="40"/>
      <c r="J12" s="40"/>
      <c r="K12" s="40"/>
      <c r="L12" s="39"/>
      <c r="P12" s="40"/>
    </row>
    <row r="13" spans="1:21">
      <c r="A13" s="39"/>
      <c r="D13" s="40"/>
      <c r="E13" s="40"/>
      <c r="F13" s="40"/>
      <c r="I13" s="40"/>
      <c r="J13" s="40"/>
      <c r="K13" s="40"/>
      <c r="L13" s="39"/>
      <c r="P13" s="40"/>
    </row>
    <row r="14" spans="1:21">
      <c r="A14" s="39">
        <v>39876</v>
      </c>
      <c r="B14">
        <v>1</v>
      </c>
      <c r="D14" s="40" t="s">
        <v>2921</v>
      </c>
      <c r="E14" s="40" t="s">
        <v>2922</v>
      </c>
      <c r="F14" s="40" t="s">
        <v>2923</v>
      </c>
      <c r="G14">
        <v>2008</v>
      </c>
      <c r="H14">
        <v>1702</v>
      </c>
      <c r="I14" s="40" t="s">
        <v>1005</v>
      </c>
      <c r="J14" s="40" t="s">
        <v>2924</v>
      </c>
      <c r="K14" s="40" t="s">
        <v>2925</v>
      </c>
      <c r="L14" s="39">
        <v>39755</v>
      </c>
      <c r="M14">
        <v>6</v>
      </c>
      <c r="N14">
        <v>3</v>
      </c>
      <c r="O14">
        <v>111</v>
      </c>
      <c r="P14" s="40" t="s">
        <v>1008</v>
      </c>
      <c r="Q14">
        <v>2</v>
      </c>
      <c r="R14">
        <v>2</v>
      </c>
      <c r="S14">
        <v>1</v>
      </c>
    </row>
    <row r="15" spans="1:21">
      <c r="A15" s="39">
        <v>39909</v>
      </c>
      <c r="B15">
        <v>1</v>
      </c>
      <c r="D15" s="40" t="s">
        <v>2926</v>
      </c>
      <c r="E15" s="40" t="s">
        <v>2927</v>
      </c>
      <c r="F15" s="40" t="s">
        <v>2928</v>
      </c>
      <c r="G15">
        <v>2008</v>
      </c>
      <c r="H15">
        <v>1702</v>
      </c>
      <c r="I15" s="40" t="s">
        <v>1005</v>
      </c>
      <c r="J15" s="40" t="s">
        <v>2929</v>
      </c>
      <c r="K15" s="40" t="s">
        <v>2930</v>
      </c>
      <c r="L15" s="39">
        <v>39834</v>
      </c>
      <c r="M15">
        <v>5</v>
      </c>
      <c r="N15">
        <v>4</v>
      </c>
      <c r="O15">
        <v>111</v>
      </c>
      <c r="P15" s="40" t="s">
        <v>1008</v>
      </c>
      <c r="Q15">
        <v>2</v>
      </c>
      <c r="R15">
        <v>2</v>
      </c>
      <c r="S15">
        <v>1</v>
      </c>
    </row>
    <row r="16" spans="1:21">
      <c r="A16" s="39">
        <v>39924</v>
      </c>
      <c r="B16">
        <v>1</v>
      </c>
      <c r="D16" s="40" t="s">
        <v>2931</v>
      </c>
      <c r="E16" s="40" t="s">
        <v>2932</v>
      </c>
      <c r="F16" s="40" t="s">
        <v>2933</v>
      </c>
      <c r="G16">
        <v>2008</v>
      </c>
      <c r="H16">
        <v>1702</v>
      </c>
      <c r="I16" s="40" t="s">
        <v>1005</v>
      </c>
      <c r="J16" s="40" t="s">
        <v>2934</v>
      </c>
      <c r="K16" s="40" t="s">
        <v>2935</v>
      </c>
      <c r="L16" s="39">
        <v>39728</v>
      </c>
      <c r="M16">
        <v>5</v>
      </c>
      <c r="N16">
        <v>4</v>
      </c>
      <c r="O16">
        <v>111</v>
      </c>
      <c r="P16" s="40" t="s">
        <v>1008</v>
      </c>
      <c r="Q16">
        <v>2</v>
      </c>
      <c r="R16">
        <v>2</v>
      </c>
      <c r="S16">
        <v>1</v>
      </c>
    </row>
    <row r="17" spans="1:19">
      <c r="A17" s="39">
        <v>39925</v>
      </c>
      <c r="B17">
        <v>1</v>
      </c>
      <c r="D17" s="40" t="s">
        <v>2936</v>
      </c>
      <c r="E17" s="40" t="s">
        <v>2937</v>
      </c>
      <c r="F17" s="40" t="s">
        <v>2938</v>
      </c>
      <c r="G17">
        <v>2008</v>
      </c>
      <c r="H17">
        <v>1702</v>
      </c>
      <c r="I17" s="40" t="s">
        <v>1005</v>
      </c>
      <c r="J17" s="40" t="s">
        <v>2939</v>
      </c>
      <c r="K17" s="40" t="s">
        <v>2940</v>
      </c>
      <c r="L17" s="39">
        <v>39834</v>
      </c>
      <c r="M17">
        <v>7</v>
      </c>
      <c r="N17">
        <v>2</v>
      </c>
      <c r="O17">
        <v>111</v>
      </c>
      <c r="P17" s="40" t="s">
        <v>1008</v>
      </c>
      <c r="Q17">
        <v>2</v>
      </c>
      <c r="R17">
        <v>2</v>
      </c>
      <c r="S17">
        <v>1</v>
      </c>
    </row>
    <row r="18" spans="1:19">
      <c r="A18" s="39">
        <v>39982</v>
      </c>
      <c r="B18">
        <v>1</v>
      </c>
      <c r="D18" s="40" t="s">
        <v>2941</v>
      </c>
      <c r="E18" s="40" t="s">
        <v>2942</v>
      </c>
      <c r="F18" s="40" t="s">
        <v>2943</v>
      </c>
      <c r="G18">
        <v>2008</v>
      </c>
      <c r="H18">
        <v>1702</v>
      </c>
      <c r="I18" s="40" t="s">
        <v>1005</v>
      </c>
      <c r="J18" s="40" t="s">
        <v>2944</v>
      </c>
      <c r="K18" s="40" t="s">
        <v>2945</v>
      </c>
      <c r="L18" s="39">
        <v>39895</v>
      </c>
      <c r="M18">
        <v>6</v>
      </c>
      <c r="N18">
        <v>3</v>
      </c>
      <c r="O18">
        <v>111</v>
      </c>
      <c r="P18" s="40" t="s">
        <v>1008</v>
      </c>
      <c r="Q18">
        <v>2</v>
      </c>
      <c r="R18">
        <v>2</v>
      </c>
      <c r="S18">
        <v>1</v>
      </c>
    </row>
    <row r="19" spans="1:19">
      <c r="A19" s="39">
        <v>39989</v>
      </c>
      <c r="B19">
        <v>1</v>
      </c>
      <c r="D19" s="40" t="s">
        <v>2946</v>
      </c>
      <c r="E19" s="40" t="s">
        <v>2947</v>
      </c>
      <c r="F19" s="40" t="s">
        <v>2948</v>
      </c>
      <c r="G19">
        <v>2008</v>
      </c>
      <c r="H19">
        <v>1702</v>
      </c>
      <c r="I19" s="40" t="s">
        <v>1005</v>
      </c>
      <c r="J19" s="40" t="s">
        <v>2949</v>
      </c>
      <c r="K19" s="40" t="s">
        <v>2950</v>
      </c>
      <c r="L19" s="39">
        <v>39874</v>
      </c>
      <c r="M19">
        <v>5</v>
      </c>
      <c r="N19">
        <v>4</v>
      </c>
      <c r="O19">
        <v>111</v>
      </c>
      <c r="P19" s="40" t="s">
        <v>1008</v>
      </c>
      <c r="Q19">
        <v>2</v>
      </c>
      <c r="R19">
        <v>2</v>
      </c>
      <c r="S19">
        <v>1</v>
      </c>
    </row>
    <row r="20" spans="1:19">
      <c r="A20" s="39"/>
      <c r="D20" s="40"/>
      <c r="E20" s="40"/>
      <c r="F20" s="40"/>
      <c r="I20" s="40"/>
      <c r="J20" s="40"/>
      <c r="K20" s="40"/>
      <c r="L20" s="39"/>
      <c r="P20" s="40"/>
    </row>
    <row r="21" spans="1:19">
      <c r="A21" s="39"/>
      <c r="D21" s="40"/>
      <c r="E21" s="40"/>
      <c r="F21" s="40"/>
      <c r="I21" s="40"/>
      <c r="J21" s="40"/>
      <c r="K21" s="40"/>
      <c r="L21" s="39"/>
      <c r="P21" s="40"/>
    </row>
    <row r="22" spans="1:19">
      <c r="A22" s="39">
        <v>39834</v>
      </c>
      <c r="B22">
        <v>1</v>
      </c>
      <c r="D22" s="40" t="s">
        <v>2951</v>
      </c>
      <c r="E22" s="40" t="s">
        <v>2952</v>
      </c>
      <c r="F22" s="40" t="s">
        <v>2953</v>
      </c>
      <c r="G22">
        <v>2008</v>
      </c>
      <c r="H22">
        <v>1702</v>
      </c>
      <c r="I22" s="40" t="s">
        <v>1005</v>
      </c>
      <c r="J22" s="40" t="s">
        <v>2954</v>
      </c>
      <c r="K22" s="40" t="s">
        <v>2955</v>
      </c>
      <c r="L22" s="39">
        <v>39727</v>
      </c>
      <c r="M22">
        <v>9</v>
      </c>
      <c r="N22">
        <v>0</v>
      </c>
      <c r="O22">
        <v>111</v>
      </c>
      <c r="P22" s="40" t="s">
        <v>1008</v>
      </c>
      <c r="Q22">
        <v>3</v>
      </c>
      <c r="R22">
        <v>2</v>
      </c>
      <c r="S22">
        <v>2</v>
      </c>
    </row>
    <row r="23" spans="1:19">
      <c r="A23" s="39">
        <v>39959</v>
      </c>
      <c r="B23">
        <v>1</v>
      </c>
      <c r="D23" s="40" t="s">
        <v>2956</v>
      </c>
      <c r="E23" s="40" t="s">
        <v>2957</v>
      </c>
      <c r="F23" s="40" t="s">
        <v>2958</v>
      </c>
      <c r="G23">
        <v>2008</v>
      </c>
      <c r="H23">
        <v>1702</v>
      </c>
      <c r="I23" s="40" t="s">
        <v>1005</v>
      </c>
      <c r="J23" s="40" t="s">
        <v>2959</v>
      </c>
      <c r="K23" s="40" t="s">
        <v>2960</v>
      </c>
      <c r="L23" s="39">
        <v>39826</v>
      </c>
      <c r="M23">
        <v>5</v>
      </c>
      <c r="N23">
        <v>4</v>
      </c>
      <c r="O23">
        <v>111</v>
      </c>
      <c r="P23" s="40" t="s">
        <v>1008</v>
      </c>
      <c r="Q23">
        <v>3</v>
      </c>
      <c r="R23">
        <v>2</v>
      </c>
      <c r="S23">
        <v>2</v>
      </c>
    </row>
    <row r="24" spans="1:19">
      <c r="A24" s="39">
        <v>39979</v>
      </c>
      <c r="B24">
        <v>1</v>
      </c>
      <c r="D24" s="40" t="s">
        <v>2961</v>
      </c>
      <c r="E24" s="40" t="s">
        <v>2962</v>
      </c>
      <c r="F24" s="40" t="s">
        <v>2963</v>
      </c>
      <c r="G24">
        <v>2008</v>
      </c>
      <c r="H24">
        <v>1702</v>
      </c>
      <c r="I24" s="40" t="s">
        <v>1005</v>
      </c>
      <c r="J24" s="40" t="s">
        <v>2964</v>
      </c>
      <c r="K24" s="40" t="s">
        <v>2965</v>
      </c>
      <c r="L24" s="39">
        <v>39904</v>
      </c>
      <c r="M24">
        <v>7</v>
      </c>
      <c r="N24">
        <v>2</v>
      </c>
      <c r="O24">
        <v>111</v>
      </c>
      <c r="P24" s="40" t="s">
        <v>1008</v>
      </c>
      <c r="Q24">
        <v>3</v>
      </c>
      <c r="R24">
        <v>2</v>
      </c>
      <c r="S24">
        <v>2</v>
      </c>
    </row>
    <row r="25" spans="1:19">
      <c r="A25" s="39">
        <v>39982</v>
      </c>
      <c r="B25">
        <v>1</v>
      </c>
      <c r="D25" s="40" t="s">
        <v>2966</v>
      </c>
      <c r="E25" s="40" t="s">
        <v>2967</v>
      </c>
      <c r="F25" s="40" t="s">
        <v>2968</v>
      </c>
      <c r="G25">
        <v>2008</v>
      </c>
      <c r="H25">
        <v>1702</v>
      </c>
      <c r="I25" s="40" t="s">
        <v>1005</v>
      </c>
      <c r="J25" s="40" t="s">
        <v>2969</v>
      </c>
      <c r="K25" s="40" t="s">
        <v>2970</v>
      </c>
      <c r="L25" s="39">
        <v>39874</v>
      </c>
      <c r="M25">
        <v>5</v>
      </c>
      <c r="N25">
        <v>4</v>
      </c>
      <c r="O25">
        <v>111</v>
      </c>
      <c r="P25" s="40" t="s">
        <v>1008</v>
      </c>
      <c r="Q25">
        <v>3</v>
      </c>
      <c r="R25">
        <v>2</v>
      </c>
      <c r="S25">
        <v>2</v>
      </c>
    </row>
    <row r="26" spans="1:19">
      <c r="A26" s="39">
        <v>39993</v>
      </c>
      <c r="B26">
        <v>1</v>
      </c>
      <c r="D26" s="40" t="s">
        <v>2971</v>
      </c>
      <c r="E26" s="40" t="s">
        <v>2972</v>
      </c>
      <c r="F26" s="40" t="s">
        <v>2973</v>
      </c>
      <c r="G26">
        <v>2008</v>
      </c>
      <c r="H26">
        <v>1702</v>
      </c>
      <c r="I26" s="40" t="s">
        <v>1005</v>
      </c>
      <c r="J26" s="40" t="s">
        <v>2974</v>
      </c>
      <c r="K26" s="40" t="s">
        <v>2975</v>
      </c>
      <c r="L26" s="39">
        <v>39925</v>
      </c>
      <c r="M26">
        <v>5</v>
      </c>
      <c r="N26">
        <v>4</v>
      </c>
      <c r="O26">
        <v>111</v>
      </c>
      <c r="P26" s="40" t="s">
        <v>1008</v>
      </c>
      <c r="Q26">
        <v>3</v>
      </c>
      <c r="R26">
        <v>2</v>
      </c>
      <c r="S26">
        <v>2</v>
      </c>
    </row>
    <row r="27" spans="1:19">
      <c r="A27" s="39">
        <v>39826</v>
      </c>
      <c r="B27">
        <v>1</v>
      </c>
      <c r="D27" s="40" t="s">
        <v>2976</v>
      </c>
      <c r="E27" s="40" t="s">
        <v>2977</v>
      </c>
      <c r="F27" s="40" t="s">
        <v>2978</v>
      </c>
      <c r="G27">
        <v>2008</v>
      </c>
      <c r="H27">
        <v>1702</v>
      </c>
      <c r="I27" s="40" t="s">
        <v>1005</v>
      </c>
      <c r="J27" s="40" t="s">
        <v>2979</v>
      </c>
      <c r="K27" s="40" t="s">
        <v>2980</v>
      </c>
      <c r="L27" s="39">
        <v>39762</v>
      </c>
      <c r="M27">
        <v>9</v>
      </c>
      <c r="N27">
        <v>0</v>
      </c>
      <c r="O27">
        <v>111</v>
      </c>
      <c r="P27" s="40" t="s">
        <v>1008</v>
      </c>
      <c r="Q27">
        <v>4</v>
      </c>
      <c r="R27">
        <v>2</v>
      </c>
      <c r="S27">
        <v>2</v>
      </c>
    </row>
    <row r="28" spans="1:19">
      <c r="A28" s="39">
        <v>39839</v>
      </c>
      <c r="B28">
        <v>1</v>
      </c>
      <c r="D28" s="40" t="s">
        <v>2981</v>
      </c>
      <c r="E28" s="40" t="s">
        <v>2982</v>
      </c>
      <c r="F28" s="40" t="s">
        <v>2983</v>
      </c>
      <c r="G28">
        <v>2008</v>
      </c>
      <c r="H28">
        <v>1702</v>
      </c>
      <c r="I28" s="40" t="s">
        <v>1005</v>
      </c>
      <c r="J28" s="40" t="s">
        <v>2984</v>
      </c>
      <c r="K28" s="40" t="s">
        <v>2985</v>
      </c>
      <c r="L28" s="39">
        <v>39729</v>
      </c>
      <c r="M28">
        <v>9</v>
      </c>
      <c r="N28">
        <v>0</v>
      </c>
      <c r="O28">
        <v>111</v>
      </c>
      <c r="P28" s="40" t="s">
        <v>1008</v>
      </c>
      <c r="Q28">
        <v>4</v>
      </c>
      <c r="R28">
        <v>2</v>
      </c>
      <c r="S28">
        <v>2</v>
      </c>
    </row>
    <row r="29" spans="1:19">
      <c r="A29" s="39">
        <v>39931</v>
      </c>
      <c r="B29">
        <v>1</v>
      </c>
      <c r="D29" s="40" t="s">
        <v>2986</v>
      </c>
      <c r="E29" s="40" t="s">
        <v>2987</v>
      </c>
      <c r="F29" s="40" t="s">
        <v>2988</v>
      </c>
      <c r="G29">
        <v>2008</v>
      </c>
      <c r="H29">
        <v>1702</v>
      </c>
      <c r="I29" s="40" t="s">
        <v>1005</v>
      </c>
      <c r="J29" s="40" t="s">
        <v>2989</v>
      </c>
      <c r="K29" s="40" t="s">
        <v>2990</v>
      </c>
      <c r="L29" s="39">
        <v>39791</v>
      </c>
      <c r="M29">
        <v>7</v>
      </c>
      <c r="N29">
        <v>2</v>
      </c>
      <c r="O29">
        <v>111</v>
      </c>
      <c r="P29" s="40" t="s">
        <v>1008</v>
      </c>
      <c r="Q29">
        <v>4</v>
      </c>
      <c r="R29">
        <v>2</v>
      </c>
      <c r="S29">
        <v>2</v>
      </c>
    </row>
    <row r="30" spans="1:19">
      <c r="A30" s="39">
        <v>39937</v>
      </c>
      <c r="B30">
        <v>1</v>
      </c>
      <c r="D30" s="40" t="s">
        <v>2991</v>
      </c>
      <c r="E30" s="40" t="s">
        <v>2992</v>
      </c>
      <c r="F30" s="40" t="s">
        <v>2993</v>
      </c>
      <c r="G30">
        <v>2008</v>
      </c>
      <c r="H30">
        <v>1702</v>
      </c>
      <c r="I30" s="40" t="s">
        <v>1005</v>
      </c>
      <c r="J30" s="40" t="s">
        <v>2994</v>
      </c>
      <c r="K30" s="40" t="s">
        <v>2995</v>
      </c>
      <c r="L30" s="39">
        <v>39869</v>
      </c>
      <c r="M30">
        <v>9</v>
      </c>
      <c r="N30">
        <v>0</v>
      </c>
      <c r="O30">
        <v>111</v>
      </c>
      <c r="P30" s="40" t="s">
        <v>1008</v>
      </c>
      <c r="Q30">
        <v>4</v>
      </c>
      <c r="R30">
        <v>2</v>
      </c>
      <c r="S30">
        <v>2</v>
      </c>
    </row>
    <row r="31" spans="1:19">
      <c r="A31" s="39"/>
      <c r="D31" s="40"/>
      <c r="E31" s="40"/>
      <c r="F31" s="40"/>
      <c r="I31" s="40"/>
      <c r="J31" s="40"/>
      <c r="K31" s="40"/>
      <c r="L31" s="39"/>
      <c r="P31" s="40"/>
    </row>
    <row r="32" spans="1:19">
      <c r="A32" s="39"/>
      <c r="D32" s="40"/>
      <c r="E32" s="40"/>
      <c r="F32" s="40"/>
      <c r="I32" s="40"/>
      <c r="J32" s="40"/>
      <c r="K32" s="40"/>
      <c r="L32" s="39"/>
      <c r="P32" s="40"/>
    </row>
    <row r="33" spans="1:19">
      <c r="A33" s="39">
        <v>39764</v>
      </c>
      <c r="B33">
        <v>1</v>
      </c>
      <c r="D33" s="40" t="s">
        <v>2996</v>
      </c>
      <c r="E33" s="40" t="s">
        <v>2997</v>
      </c>
      <c r="F33" s="40" t="s">
        <v>2998</v>
      </c>
      <c r="G33">
        <v>2008</v>
      </c>
      <c r="H33">
        <v>1702</v>
      </c>
      <c r="I33" s="40" t="s">
        <v>1005</v>
      </c>
      <c r="J33" s="40" t="s">
        <v>2999</v>
      </c>
      <c r="K33" s="40" t="s">
        <v>3000</v>
      </c>
      <c r="L33" s="39">
        <v>39729</v>
      </c>
      <c r="M33">
        <v>5</v>
      </c>
      <c r="N33">
        <v>4</v>
      </c>
      <c r="O33">
        <v>111</v>
      </c>
      <c r="P33" s="40" t="s">
        <v>1008</v>
      </c>
      <c r="Q33">
        <v>1</v>
      </c>
      <c r="R33">
        <v>1</v>
      </c>
      <c r="S33">
        <v>2</v>
      </c>
    </row>
    <row r="34" spans="1:19">
      <c r="A34" s="39">
        <v>39797</v>
      </c>
      <c r="B34">
        <v>1</v>
      </c>
      <c r="D34" s="40" t="s">
        <v>3001</v>
      </c>
      <c r="E34" s="40" t="s">
        <v>3002</v>
      </c>
      <c r="F34" s="40" t="s">
        <v>3003</v>
      </c>
      <c r="G34">
        <v>2008</v>
      </c>
      <c r="H34">
        <v>1702</v>
      </c>
      <c r="I34" s="40" t="s">
        <v>1005</v>
      </c>
      <c r="J34" s="40" t="s">
        <v>3004</v>
      </c>
      <c r="K34" s="40" t="s">
        <v>3005</v>
      </c>
      <c r="L34" s="39">
        <v>39727</v>
      </c>
      <c r="M34">
        <v>5</v>
      </c>
      <c r="N34">
        <v>4</v>
      </c>
      <c r="O34">
        <v>111</v>
      </c>
      <c r="P34" s="40" t="s">
        <v>1008</v>
      </c>
      <c r="Q34">
        <v>2</v>
      </c>
      <c r="R34">
        <v>1</v>
      </c>
      <c r="S34">
        <v>1</v>
      </c>
    </row>
    <row r="35" spans="1:19">
      <c r="A35" s="39">
        <v>39826</v>
      </c>
      <c r="B35">
        <v>1</v>
      </c>
      <c r="D35" s="40" t="s">
        <v>3006</v>
      </c>
      <c r="E35" s="40" t="s">
        <v>3007</v>
      </c>
      <c r="F35" s="40" t="s">
        <v>3008</v>
      </c>
      <c r="G35">
        <v>2008</v>
      </c>
      <c r="H35">
        <v>1702</v>
      </c>
      <c r="I35" s="40" t="s">
        <v>1005</v>
      </c>
      <c r="J35" s="40" t="s">
        <v>3009</v>
      </c>
      <c r="K35" s="40" t="s">
        <v>3010</v>
      </c>
      <c r="L35" s="39">
        <v>39756</v>
      </c>
      <c r="M35">
        <v>9</v>
      </c>
      <c r="N35">
        <v>0</v>
      </c>
      <c r="O35">
        <v>111</v>
      </c>
      <c r="P35" s="40" t="s">
        <v>1008</v>
      </c>
      <c r="Q35">
        <v>1</v>
      </c>
      <c r="R35">
        <v>1</v>
      </c>
      <c r="S35">
        <v>2</v>
      </c>
    </row>
    <row r="36" spans="1:19">
      <c r="A36" s="39">
        <v>39827</v>
      </c>
      <c r="B36">
        <v>1</v>
      </c>
      <c r="D36" s="40" t="s">
        <v>3011</v>
      </c>
      <c r="E36" s="40" t="s">
        <v>3012</v>
      </c>
      <c r="F36" s="40" t="s">
        <v>3013</v>
      </c>
      <c r="G36">
        <v>2008</v>
      </c>
      <c r="H36">
        <v>1702</v>
      </c>
      <c r="I36" s="40" t="s">
        <v>1005</v>
      </c>
      <c r="J36" s="40" t="s">
        <v>3014</v>
      </c>
      <c r="K36" s="40" t="s">
        <v>3015</v>
      </c>
      <c r="L36" s="39">
        <v>39728</v>
      </c>
      <c r="M36">
        <v>5</v>
      </c>
      <c r="N36">
        <v>4</v>
      </c>
      <c r="O36">
        <v>111</v>
      </c>
      <c r="P36" s="40" t="s">
        <v>1008</v>
      </c>
      <c r="Q36">
        <v>1</v>
      </c>
      <c r="R36">
        <v>1</v>
      </c>
      <c r="S36">
        <v>2</v>
      </c>
    </row>
    <row r="37" spans="1:19">
      <c r="A37" s="39">
        <v>39827</v>
      </c>
      <c r="B37">
        <v>1</v>
      </c>
      <c r="D37" s="40" t="s">
        <v>3016</v>
      </c>
      <c r="E37" s="40" t="s">
        <v>3017</v>
      </c>
      <c r="F37" s="40" t="s">
        <v>3018</v>
      </c>
      <c r="G37">
        <v>2008</v>
      </c>
      <c r="H37">
        <v>1702</v>
      </c>
      <c r="I37" s="40" t="s">
        <v>1005</v>
      </c>
      <c r="J37" s="40" t="s">
        <v>3019</v>
      </c>
      <c r="K37" s="40" t="s">
        <v>3020</v>
      </c>
      <c r="L37" s="39">
        <v>39735</v>
      </c>
      <c r="M37">
        <v>5</v>
      </c>
      <c r="N37">
        <v>4</v>
      </c>
      <c r="O37">
        <v>111</v>
      </c>
      <c r="P37" s="40" t="s">
        <v>1008</v>
      </c>
      <c r="Q37">
        <v>1</v>
      </c>
      <c r="R37">
        <v>1</v>
      </c>
      <c r="S37">
        <v>2</v>
      </c>
    </row>
    <row r="38" spans="1:19">
      <c r="A38" s="39">
        <v>39834</v>
      </c>
      <c r="B38">
        <v>1</v>
      </c>
      <c r="D38" s="40" t="s">
        <v>3021</v>
      </c>
      <c r="E38" s="40" t="s">
        <v>3022</v>
      </c>
      <c r="F38" s="40" t="s">
        <v>3023</v>
      </c>
      <c r="G38">
        <v>2008</v>
      </c>
      <c r="H38">
        <v>1702</v>
      </c>
      <c r="I38" s="40" t="s">
        <v>1005</v>
      </c>
      <c r="J38" s="40" t="s">
        <v>3024</v>
      </c>
      <c r="K38" s="40" t="s">
        <v>3025</v>
      </c>
      <c r="L38" s="39">
        <v>39736</v>
      </c>
      <c r="M38">
        <v>6</v>
      </c>
      <c r="N38">
        <v>3</v>
      </c>
      <c r="O38">
        <v>111</v>
      </c>
      <c r="P38" s="40" t="s">
        <v>1008</v>
      </c>
      <c r="Q38">
        <v>1</v>
      </c>
      <c r="R38">
        <v>1</v>
      </c>
      <c r="S38">
        <v>2</v>
      </c>
    </row>
    <row r="39" spans="1:19">
      <c r="A39" s="39">
        <v>39839</v>
      </c>
      <c r="B39">
        <v>1</v>
      </c>
      <c r="D39" s="40" t="s">
        <v>3026</v>
      </c>
      <c r="E39" s="40" t="s">
        <v>3027</v>
      </c>
      <c r="F39" s="40" t="s">
        <v>3028</v>
      </c>
      <c r="G39">
        <v>2008</v>
      </c>
      <c r="H39">
        <v>1702</v>
      </c>
      <c r="I39" s="40" t="s">
        <v>1005</v>
      </c>
      <c r="J39" s="40" t="s">
        <v>3029</v>
      </c>
      <c r="K39" s="40" t="s">
        <v>3030</v>
      </c>
      <c r="L39" s="39">
        <v>39728</v>
      </c>
      <c r="M39">
        <v>9</v>
      </c>
      <c r="N39">
        <v>0</v>
      </c>
      <c r="O39">
        <v>111</v>
      </c>
      <c r="P39" s="40" t="s">
        <v>1008</v>
      </c>
      <c r="Q39">
        <v>1</v>
      </c>
      <c r="R39">
        <v>1</v>
      </c>
      <c r="S39">
        <v>2</v>
      </c>
    </row>
    <row r="40" spans="1:19">
      <c r="A40" s="39">
        <v>39839</v>
      </c>
      <c r="B40">
        <v>1</v>
      </c>
      <c r="D40" s="40" t="s">
        <v>3031</v>
      </c>
      <c r="E40" s="40" t="s">
        <v>3032</v>
      </c>
      <c r="F40" s="40" t="s">
        <v>3033</v>
      </c>
      <c r="G40">
        <v>2008</v>
      </c>
      <c r="H40">
        <v>1702</v>
      </c>
      <c r="I40" s="40" t="s">
        <v>1005</v>
      </c>
      <c r="J40" s="40" t="s">
        <v>3034</v>
      </c>
      <c r="K40" s="40" t="s">
        <v>3035</v>
      </c>
      <c r="L40" s="39">
        <v>39756</v>
      </c>
      <c r="M40">
        <v>9</v>
      </c>
      <c r="N40">
        <v>0</v>
      </c>
      <c r="O40">
        <v>111</v>
      </c>
      <c r="P40" s="40" t="s">
        <v>1008</v>
      </c>
      <c r="Q40">
        <v>1</v>
      </c>
      <c r="R40">
        <v>1</v>
      </c>
      <c r="S40">
        <v>2</v>
      </c>
    </row>
    <row r="41" spans="1:19">
      <c r="A41" s="39">
        <v>39839</v>
      </c>
      <c r="B41">
        <v>1</v>
      </c>
      <c r="D41" s="40" t="s">
        <v>3036</v>
      </c>
      <c r="E41" s="40" t="s">
        <v>3037</v>
      </c>
      <c r="F41" s="40" t="s">
        <v>3038</v>
      </c>
      <c r="G41">
        <v>2008</v>
      </c>
      <c r="H41">
        <v>1702</v>
      </c>
      <c r="I41" s="40" t="s">
        <v>1005</v>
      </c>
      <c r="J41" s="40" t="s">
        <v>3039</v>
      </c>
      <c r="K41" s="40" t="s">
        <v>3040</v>
      </c>
      <c r="L41" s="39">
        <v>39791</v>
      </c>
      <c r="M41">
        <v>9</v>
      </c>
      <c r="N41">
        <v>0</v>
      </c>
      <c r="O41">
        <v>111</v>
      </c>
      <c r="P41" s="40" t="s">
        <v>1008</v>
      </c>
      <c r="Q41">
        <v>1</v>
      </c>
      <c r="R41">
        <v>1</v>
      </c>
      <c r="S41">
        <v>2</v>
      </c>
    </row>
    <row r="42" spans="1:19">
      <c r="A42" s="39">
        <v>39839</v>
      </c>
      <c r="B42">
        <v>1</v>
      </c>
      <c r="D42" s="40" t="s">
        <v>3041</v>
      </c>
      <c r="E42" s="40" t="s">
        <v>3042</v>
      </c>
      <c r="F42" s="40" t="s">
        <v>3043</v>
      </c>
      <c r="G42">
        <v>2008</v>
      </c>
      <c r="H42">
        <v>1702</v>
      </c>
      <c r="I42" s="40" t="s">
        <v>1005</v>
      </c>
      <c r="J42" s="40" t="s">
        <v>3044</v>
      </c>
      <c r="K42" s="40" t="s">
        <v>3045</v>
      </c>
      <c r="L42" s="39">
        <v>39757</v>
      </c>
      <c r="M42">
        <v>9</v>
      </c>
      <c r="N42">
        <v>0</v>
      </c>
      <c r="O42">
        <v>111</v>
      </c>
      <c r="P42" s="40" t="s">
        <v>1008</v>
      </c>
      <c r="Q42">
        <v>1</v>
      </c>
      <c r="R42">
        <v>1</v>
      </c>
      <c r="S42">
        <v>2</v>
      </c>
    </row>
    <row r="43" spans="1:19">
      <c r="A43" s="39">
        <v>39868</v>
      </c>
      <c r="B43">
        <v>1</v>
      </c>
      <c r="D43" s="40" t="s">
        <v>3046</v>
      </c>
      <c r="E43" s="40" t="s">
        <v>3047</v>
      </c>
      <c r="F43" s="40" t="s">
        <v>3048</v>
      </c>
      <c r="G43">
        <v>2008</v>
      </c>
      <c r="H43">
        <v>1702</v>
      </c>
      <c r="I43" s="40" t="s">
        <v>1005</v>
      </c>
      <c r="J43" s="40" t="s">
        <v>3049</v>
      </c>
      <c r="K43" s="40" t="s">
        <v>3050</v>
      </c>
      <c r="L43" s="39">
        <v>39755</v>
      </c>
      <c r="M43">
        <v>6</v>
      </c>
      <c r="N43">
        <v>3</v>
      </c>
      <c r="O43">
        <v>111</v>
      </c>
      <c r="P43" s="40" t="s">
        <v>1008</v>
      </c>
      <c r="Q43">
        <v>1</v>
      </c>
      <c r="R43">
        <v>1</v>
      </c>
      <c r="S43">
        <v>2</v>
      </c>
    </row>
    <row r="44" spans="1:19">
      <c r="A44" s="39">
        <v>39868</v>
      </c>
      <c r="B44">
        <v>1</v>
      </c>
      <c r="D44" s="40" t="s">
        <v>3051</v>
      </c>
      <c r="E44" s="40" t="s">
        <v>3052</v>
      </c>
      <c r="F44" s="40" t="s">
        <v>3053</v>
      </c>
      <c r="G44">
        <v>2008</v>
      </c>
      <c r="H44">
        <v>1702</v>
      </c>
      <c r="I44" s="40" t="s">
        <v>1005</v>
      </c>
      <c r="J44" s="40" t="s">
        <v>3054</v>
      </c>
      <c r="K44" s="40" t="s">
        <v>3055</v>
      </c>
      <c r="L44" s="39">
        <v>39755</v>
      </c>
      <c r="M44">
        <v>6</v>
      </c>
      <c r="N44">
        <v>3</v>
      </c>
      <c r="O44">
        <v>111</v>
      </c>
      <c r="P44" s="40" t="s">
        <v>1008</v>
      </c>
      <c r="Q44">
        <v>1</v>
      </c>
      <c r="R44">
        <v>1</v>
      </c>
      <c r="S44">
        <v>2</v>
      </c>
    </row>
    <row r="45" spans="1:19">
      <c r="A45" s="39">
        <v>39868</v>
      </c>
      <c r="B45">
        <v>1</v>
      </c>
      <c r="D45" s="40" t="s">
        <v>3056</v>
      </c>
      <c r="E45" s="40" t="s">
        <v>3057</v>
      </c>
      <c r="F45" s="40" t="s">
        <v>3058</v>
      </c>
      <c r="G45">
        <v>2008</v>
      </c>
      <c r="H45">
        <v>1702</v>
      </c>
      <c r="I45" s="40" t="s">
        <v>1005</v>
      </c>
      <c r="J45" s="40" t="s">
        <v>3059</v>
      </c>
      <c r="K45" s="40" t="s">
        <v>3060</v>
      </c>
      <c r="L45" s="39">
        <v>39762</v>
      </c>
      <c r="M45">
        <v>7</v>
      </c>
      <c r="N45">
        <v>2</v>
      </c>
      <c r="O45">
        <v>111</v>
      </c>
      <c r="P45" s="40" t="s">
        <v>1008</v>
      </c>
      <c r="Q45">
        <v>1</v>
      </c>
      <c r="R45">
        <v>1</v>
      </c>
      <c r="S45">
        <v>2</v>
      </c>
    </row>
    <row r="46" spans="1:19">
      <c r="A46" s="39">
        <v>39869</v>
      </c>
      <c r="B46">
        <v>1</v>
      </c>
      <c r="D46" s="40" t="s">
        <v>3061</v>
      </c>
      <c r="E46" s="40" t="s">
        <v>3062</v>
      </c>
      <c r="F46" s="40" t="s">
        <v>3063</v>
      </c>
      <c r="G46">
        <v>2008</v>
      </c>
      <c r="H46">
        <v>1702</v>
      </c>
      <c r="I46" s="40" t="s">
        <v>1005</v>
      </c>
      <c r="J46" s="40" t="s">
        <v>3064</v>
      </c>
      <c r="K46" s="40" t="s">
        <v>3065</v>
      </c>
      <c r="L46" s="39">
        <v>39790</v>
      </c>
      <c r="M46">
        <v>9</v>
      </c>
      <c r="N46">
        <v>0</v>
      </c>
      <c r="O46">
        <v>111</v>
      </c>
      <c r="P46" s="40" t="s">
        <v>1008</v>
      </c>
      <c r="Q46">
        <v>1</v>
      </c>
      <c r="R46">
        <v>1</v>
      </c>
      <c r="S46">
        <v>2</v>
      </c>
    </row>
    <row r="47" spans="1:19">
      <c r="A47" s="39">
        <v>39875</v>
      </c>
      <c r="B47">
        <v>1</v>
      </c>
      <c r="D47" s="40" t="s">
        <v>3066</v>
      </c>
      <c r="E47" s="40" t="s">
        <v>3067</v>
      </c>
      <c r="F47" s="40" t="s">
        <v>3068</v>
      </c>
      <c r="G47">
        <v>2008</v>
      </c>
      <c r="H47">
        <v>1702</v>
      </c>
      <c r="I47" s="40" t="s">
        <v>1005</v>
      </c>
      <c r="J47" s="40" t="s">
        <v>3069</v>
      </c>
      <c r="K47" s="40" t="s">
        <v>3070</v>
      </c>
      <c r="L47" s="39">
        <v>39729</v>
      </c>
      <c r="M47">
        <v>5</v>
      </c>
      <c r="N47">
        <v>4</v>
      </c>
      <c r="O47">
        <v>111</v>
      </c>
      <c r="P47" s="40" t="s">
        <v>1008</v>
      </c>
      <c r="Q47">
        <v>1</v>
      </c>
      <c r="R47">
        <v>1</v>
      </c>
      <c r="S47">
        <v>2</v>
      </c>
    </row>
    <row r="48" spans="1:19">
      <c r="A48" s="39">
        <v>39875</v>
      </c>
      <c r="B48">
        <v>1</v>
      </c>
      <c r="D48" s="40" t="s">
        <v>3071</v>
      </c>
      <c r="E48" s="40" t="s">
        <v>3072</v>
      </c>
      <c r="F48" s="40" t="s">
        <v>3073</v>
      </c>
      <c r="G48">
        <v>2008</v>
      </c>
      <c r="H48">
        <v>1702</v>
      </c>
      <c r="I48" s="40" t="s">
        <v>1005</v>
      </c>
      <c r="J48" s="40" t="s">
        <v>3074</v>
      </c>
      <c r="K48" s="40" t="s">
        <v>3075</v>
      </c>
      <c r="L48" s="39">
        <v>39757</v>
      </c>
      <c r="M48">
        <v>8</v>
      </c>
      <c r="N48">
        <v>1</v>
      </c>
      <c r="O48">
        <v>111</v>
      </c>
      <c r="P48" s="40" t="s">
        <v>1008</v>
      </c>
      <c r="Q48">
        <v>3</v>
      </c>
      <c r="R48">
        <v>1</v>
      </c>
      <c r="S48">
        <v>2</v>
      </c>
    </row>
    <row r="49" spans="1:19">
      <c r="A49" s="39">
        <v>39881</v>
      </c>
      <c r="B49">
        <v>1</v>
      </c>
      <c r="D49" s="40" t="s">
        <v>3076</v>
      </c>
      <c r="E49" s="40" t="s">
        <v>3077</v>
      </c>
      <c r="F49" s="40" t="s">
        <v>3078</v>
      </c>
      <c r="G49">
        <v>2008</v>
      </c>
      <c r="H49">
        <v>1702</v>
      </c>
      <c r="I49" s="40" t="s">
        <v>1005</v>
      </c>
      <c r="J49" s="40" t="s">
        <v>3079</v>
      </c>
      <c r="K49" s="40" t="s">
        <v>3080</v>
      </c>
      <c r="L49" s="39">
        <v>39727</v>
      </c>
      <c r="M49">
        <v>5</v>
      </c>
      <c r="N49">
        <v>4</v>
      </c>
      <c r="O49">
        <v>111</v>
      </c>
      <c r="P49" s="40" t="s">
        <v>1008</v>
      </c>
      <c r="Q49">
        <v>2</v>
      </c>
      <c r="R49">
        <v>1</v>
      </c>
      <c r="S49">
        <v>1</v>
      </c>
    </row>
    <row r="50" spans="1:19">
      <c r="A50" s="39">
        <v>39881</v>
      </c>
      <c r="B50">
        <v>1</v>
      </c>
      <c r="D50" s="40" t="s">
        <v>3081</v>
      </c>
      <c r="E50" s="40" t="s">
        <v>3082</v>
      </c>
      <c r="F50" s="40" t="s">
        <v>3083</v>
      </c>
      <c r="G50">
        <v>2008</v>
      </c>
      <c r="H50">
        <v>1702</v>
      </c>
      <c r="I50" s="40" t="s">
        <v>1005</v>
      </c>
      <c r="J50" s="40" t="s">
        <v>3084</v>
      </c>
      <c r="K50" s="40" t="s">
        <v>3085</v>
      </c>
      <c r="L50" s="39">
        <v>39826</v>
      </c>
      <c r="M50">
        <v>7</v>
      </c>
      <c r="N50">
        <v>2</v>
      </c>
      <c r="O50">
        <v>111</v>
      </c>
      <c r="P50" s="40" t="s">
        <v>1008</v>
      </c>
      <c r="Q50">
        <v>1</v>
      </c>
      <c r="R50">
        <v>1</v>
      </c>
      <c r="S50">
        <v>2</v>
      </c>
    </row>
    <row r="51" spans="1:19">
      <c r="A51" s="39">
        <v>39896</v>
      </c>
      <c r="B51">
        <v>1</v>
      </c>
      <c r="D51" s="40" t="s">
        <v>3086</v>
      </c>
      <c r="E51" s="40" t="s">
        <v>3087</v>
      </c>
      <c r="F51" s="40" t="s">
        <v>3088</v>
      </c>
      <c r="G51">
        <v>2008</v>
      </c>
      <c r="H51">
        <v>1702</v>
      </c>
      <c r="I51" s="40" t="s">
        <v>1005</v>
      </c>
      <c r="J51" s="40" t="s">
        <v>3089</v>
      </c>
      <c r="K51" s="40" t="s">
        <v>3090</v>
      </c>
      <c r="L51" s="39">
        <v>39826</v>
      </c>
      <c r="M51">
        <v>9</v>
      </c>
      <c r="N51">
        <v>0</v>
      </c>
      <c r="O51">
        <v>111</v>
      </c>
      <c r="P51" s="40" t="s">
        <v>1008</v>
      </c>
      <c r="Q51">
        <v>1</v>
      </c>
      <c r="R51">
        <v>1</v>
      </c>
      <c r="S51">
        <v>2</v>
      </c>
    </row>
    <row r="52" spans="1:19">
      <c r="A52" s="39">
        <v>39897</v>
      </c>
      <c r="B52">
        <v>1</v>
      </c>
      <c r="D52" s="40" t="s">
        <v>3091</v>
      </c>
      <c r="E52" s="40" t="s">
        <v>3092</v>
      </c>
      <c r="F52" s="40" t="s">
        <v>3093</v>
      </c>
      <c r="G52">
        <v>2008</v>
      </c>
      <c r="H52">
        <v>1702</v>
      </c>
      <c r="I52" s="40" t="s">
        <v>1005</v>
      </c>
      <c r="J52" s="40" t="s">
        <v>3094</v>
      </c>
      <c r="K52" s="40" t="s">
        <v>3095</v>
      </c>
      <c r="L52" s="39">
        <v>39827</v>
      </c>
      <c r="M52">
        <v>7</v>
      </c>
      <c r="N52">
        <v>2</v>
      </c>
      <c r="O52">
        <v>111</v>
      </c>
      <c r="P52" s="40" t="s">
        <v>1008</v>
      </c>
      <c r="Q52">
        <v>1</v>
      </c>
      <c r="R52">
        <v>1</v>
      </c>
      <c r="S52">
        <v>2</v>
      </c>
    </row>
    <row r="53" spans="1:19">
      <c r="A53" s="39">
        <v>39903</v>
      </c>
      <c r="B53">
        <v>1</v>
      </c>
      <c r="D53" s="40" t="s">
        <v>3096</v>
      </c>
      <c r="E53" s="40" t="s">
        <v>3097</v>
      </c>
      <c r="F53" s="40" t="s">
        <v>3098</v>
      </c>
      <c r="G53">
        <v>2008</v>
      </c>
      <c r="H53">
        <v>1702</v>
      </c>
      <c r="I53" s="40" t="s">
        <v>1005</v>
      </c>
      <c r="J53" s="40" t="s">
        <v>3099</v>
      </c>
      <c r="K53" s="40" t="s">
        <v>3100</v>
      </c>
      <c r="L53" s="39">
        <v>39867</v>
      </c>
      <c r="M53">
        <v>9</v>
      </c>
      <c r="N53">
        <v>0</v>
      </c>
      <c r="O53">
        <v>111</v>
      </c>
      <c r="P53" s="40" t="s">
        <v>1008</v>
      </c>
      <c r="Q53">
        <v>1</v>
      </c>
      <c r="R53">
        <v>1</v>
      </c>
      <c r="S53">
        <v>2</v>
      </c>
    </row>
    <row r="54" spans="1:19">
      <c r="A54" s="39">
        <v>39904</v>
      </c>
      <c r="B54">
        <v>1</v>
      </c>
      <c r="D54" s="40" t="s">
        <v>3101</v>
      </c>
      <c r="E54" s="40" t="s">
        <v>3102</v>
      </c>
      <c r="F54" s="40" t="s">
        <v>3103</v>
      </c>
      <c r="G54">
        <v>2008</v>
      </c>
      <c r="H54">
        <v>1702</v>
      </c>
      <c r="I54" s="40" t="s">
        <v>1005</v>
      </c>
      <c r="J54" s="40" t="s">
        <v>3104</v>
      </c>
      <c r="K54" s="40" t="s">
        <v>3105</v>
      </c>
      <c r="L54" s="39">
        <v>39825</v>
      </c>
      <c r="M54">
        <v>7</v>
      </c>
      <c r="N54">
        <v>2</v>
      </c>
      <c r="O54">
        <v>111</v>
      </c>
      <c r="P54" s="40" t="s">
        <v>1008</v>
      </c>
      <c r="Q54">
        <v>2</v>
      </c>
      <c r="R54">
        <v>1</v>
      </c>
      <c r="S54">
        <v>1</v>
      </c>
    </row>
    <row r="55" spans="1:19">
      <c r="A55" s="39">
        <v>39904</v>
      </c>
      <c r="B55">
        <v>1</v>
      </c>
      <c r="D55" s="40" t="s">
        <v>3106</v>
      </c>
      <c r="E55" s="40" t="s">
        <v>3107</v>
      </c>
      <c r="F55" s="40" t="s">
        <v>3108</v>
      </c>
      <c r="G55">
        <v>2008</v>
      </c>
      <c r="H55">
        <v>1702</v>
      </c>
      <c r="I55" s="40" t="s">
        <v>1005</v>
      </c>
      <c r="J55" s="40" t="s">
        <v>3109</v>
      </c>
      <c r="K55" s="40" t="s">
        <v>3110</v>
      </c>
      <c r="L55" s="39">
        <v>39784</v>
      </c>
      <c r="M55">
        <v>5</v>
      </c>
      <c r="N55">
        <v>4</v>
      </c>
      <c r="O55">
        <v>111</v>
      </c>
      <c r="P55" s="40" t="s">
        <v>1008</v>
      </c>
      <c r="Q55">
        <v>1</v>
      </c>
      <c r="R55">
        <v>1</v>
      </c>
      <c r="S55">
        <v>2</v>
      </c>
    </row>
    <row r="56" spans="1:19">
      <c r="A56" s="39">
        <v>39904</v>
      </c>
      <c r="B56">
        <v>1</v>
      </c>
      <c r="D56" s="40" t="s">
        <v>3111</v>
      </c>
      <c r="E56" s="40" t="s">
        <v>3112</v>
      </c>
      <c r="F56" s="40" t="s">
        <v>3113</v>
      </c>
      <c r="G56">
        <v>2008</v>
      </c>
      <c r="H56">
        <v>1702</v>
      </c>
      <c r="I56" s="40" t="s">
        <v>1005</v>
      </c>
      <c r="J56" s="40" t="s">
        <v>3114</v>
      </c>
      <c r="K56" s="40" t="s">
        <v>3115</v>
      </c>
      <c r="L56" s="39">
        <v>39783</v>
      </c>
      <c r="M56">
        <v>5</v>
      </c>
      <c r="N56">
        <v>4</v>
      </c>
      <c r="O56">
        <v>111</v>
      </c>
      <c r="P56" s="40" t="s">
        <v>1008</v>
      </c>
      <c r="Q56">
        <v>1</v>
      </c>
      <c r="R56">
        <v>1</v>
      </c>
      <c r="S56">
        <v>2</v>
      </c>
    </row>
    <row r="57" spans="1:19">
      <c r="A57" s="39">
        <v>39909</v>
      </c>
      <c r="B57">
        <v>1</v>
      </c>
      <c r="D57" s="40" t="s">
        <v>3116</v>
      </c>
      <c r="E57" s="40" t="s">
        <v>3117</v>
      </c>
      <c r="F57" s="40" t="s">
        <v>3118</v>
      </c>
      <c r="G57">
        <v>2008</v>
      </c>
      <c r="H57">
        <v>1702</v>
      </c>
      <c r="I57" s="40" t="s">
        <v>1005</v>
      </c>
      <c r="J57" s="40" t="s">
        <v>3119</v>
      </c>
      <c r="K57" s="40" t="s">
        <v>3120</v>
      </c>
      <c r="L57" s="39">
        <v>39867</v>
      </c>
      <c r="M57">
        <v>9</v>
      </c>
      <c r="N57">
        <v>0</v>
      </c>
      <c r="O57">
        <v>111</v>
      </c>
      <c r="P57" s="40" t="s">
        <v>1008</v>
      </c>
      <c r="Q57">
        <v>1</v>
      </c>
      <c r="R57">
        <v>1</v>
      </c>
      <c r="S57">
        <v>2</v>
      </c>
    </row>
    <row r="58" spans="1:19">
      <c r="A58" s="39">
        <v>39924</v>
      </c>
      <c r="B58">
        <v>1</v>
      </c>
      <c r="D58" s="40" t="s">
        <v>3121</v>
      </c>
      <c r="E58" s="40" t="s">
        <v>3122</v>
      </c>
      <c r="F58" s="40" t="s">
        <v>3123</v>
      </c>
      <c r="G58">
        <v>2008</v>
      </c>
      <c r="H58">
        <v>1702</v>
      </c>
      <c r="I58" s="40" t="s">
        <v>1005</v>
      </c>
      <c r="J58" s="40" t="s">
        <v>3124</v>
      </c>
      <c r="K58" s="40" t="s">
        <v>3125</v>
      </c>
      <c r="L58" s="39">
        <v>39825</v>
      </c>
      <c r="M58">
        <v>6</v>
      </c>
      <c r="N58">
        <v>3</v>
      </c>
      <c r="O58">
        <v>111</v>
      </c>
      <c r="P58" s="40" t="s">
        <v>1008</v>
      </c>
      <c r="Q58">
        <v>1</v>
      </c>
      <c r="R58">
        <v>1</v>
      </c>
      <c r="S58">
        <v>2</v>
      </c>
    </row>
    <row r="59" spans="1:19">
      <c r="A59" s="39">
        <v>39924</v>
      </c>
      <c r="B59">
        <v>1</v>
      </c>
      <c r="D59" s="40" t="s">
        <v>3126</v>
      </c>
      <c r="E59" s="40" t="s">
        <v>3127</v>
      </c>
      <c r="F59" s="40" t="s">
        <v>3128</v>
      </c>
      <c r="G59">
        <v>2008</v>
      </c>
      <c r="H59">
        <v>1702</v>
      </c>
      <c r="I59" s="40" t="s">
        <v>1005</v>
      </c>
      <c r="J59" s="40" t="s">
        <v>3129</v>
      </c>
      <c r="K59" s="40" t="s">
        <v>3130</v>
      </c>
      <c r="L59" s="39">
        <v>39790</v>
      </c>
      <c r="M59">
        <v>6</v>
      </c>
      <c r="N59">
        <v>3</v>
      </c>
      <c r="O59">
        <v>111</v>
      </c>
      <c r="P59" s="40" t="s">
        <v>1008</v>
      </c>
      <c r="Q59">
        <v>1</v>
      </c>
      <c r="R59">
        <v>1</v>
      </c>
      <c r="S59">
        <v>2</v>
      </c>
    </row>
    <row r="60" spans="1:19">
      <c r="A60" s="39">
        <v>39931</v>
      </c>
      <c r="B60">
        <v>1</v>
      </c>
      <c r="D60" s="40" t="s">
        <v>3131</v>
      </c>
      <c r="E60" s="40" t="s">
        <v>3132</v>
      </c>
      <c r="F60" s="40" t="s">
        <v>3133</v>
      </c>
      <c r="G60">
        <v>2008</v>
      </c>
      <c r="H60">
        <v>1702</v>
      </c>
      <c r="I60" s="40" t="s">
        <v>1005</v>
      </c>
      <c r="J60" s="40" t="s">
        <v>3134</v>
      </c>
      <c r="K60" s="40" t="s">
        <v>3135</v>
      </c>
      <c r="L60" s="39">
        <v>39756</v>
      </c>
      <c r="M60">
        <v>5</v>
      </c>
      <c r="N60">
        <v>4</v>
      </c>
      <c r="O60">
        <v>111</v>
      </c>
      <c r="P60" s="40" t="s">
        <v>1008</v>
      </c>
      <c r="Q60">
        <v>1</v>
      </c>
      <c r="R60">
        <v>1</v>
      </c>
      <c r="S60">
        <v>2</v>
      </c>
    </row>
    <row r="61" spans="1:19">
      <c r="A61" s="39">
        <v>39932</v>
      </c>
      <c r="B61">
        <v>1</v>
      </c>
      <c r="D61" s="40" t="s">
        <v>3136</v>
      </c>
      <c r="E61" s="40" t="s">
        <v>3137</v>
      </c>
      <c r="F61" s="40" t="s">
        <v>3138</v>
      </c>
      <c r="G61">
        <v>2008</v>
      </c>
      <c r="H61">
        <v>1702</v>
      </c>
      <c r="I61" s="40" t="s">
        <v>1005</v>
      </c>
      <c r="J61" s="40" t="s">
        <v>3139</v>
      </c>
      <c r="K61" s="40" t="s">
        <v>3140</v>
      </c>
      <c r="L61" s="39">
        <v>39876</v>
      </c>
      <c r="M61">
        <v>7</v>
      </c>
      <c r="N61">
        <v>2</v>
      </c>
      <c r="O61">
        <v>111</v>
      </c>
      <c r="P61" s="40" t="s">
        <v>1008</v>
      </c>
      <c r="Q61">
        <v>1</v>
      </c>
      <c r="R61">
        <v>1</v>
      </c>
      <c r="S61">
        <v>2</v>
      </c>
    </row>
    <row r="62" spans="1:19">
      <c r="A62" s="39">
        <v>39932</v>
      </c>
      <c r="B62">
        <v>1</v>
      </c>
      <c r="D62" s="40" t="s">
        <v>3141</v>
      </c>
      <c r="E62" s="40" t="s">
        <v>3142</v>
      </c>
      <c r="F62" s="40" t="s">
        <v>3143</v>
      </c>
      <c r="G62">
        <v>2008</v>
      </c>
      <c r="H62">
        <v>1702</v>
      </c>
      <c r="I62" s="40" t="s">
        <v>1005</v>
      </c>
      <c r="J62" s="40" t="s">
        <v>3144</v>
      </c>
      <c r="K62" s="40" t="s">
        <v>3145</v>
      </c>
      <c r="L62" s="39">
        <v>39834</v>
      </c>
      <c r="M62">
        <v>7</v>
      </c>
      <c r="N62">
        <v>2</v>
      </c>
      <c r="O62">
        <v>111</v>
      </c>
      <c r="P62" s="40" t="s">
        <v>1008</v>
      </c>
      <c r="Q62">
        <v>1</v>
      </c>
      <c r="R62">
        <v>1</v>
      </c>
      <c r="S62">
        <v>2</v>
      </c>
    </row>
    <row r="63" spans="1:19">
      <c r="A63" s="39">
        <v>39937</v>
      </c>
      <c r="B63">
        <v>1</v>
      </c>
      <c r="D63" s="40" t="s">
        <v>3146</v>
      </c>
      <c r="E63" s="40" t="s">
        <v>3147</v>
      </c>
      <c r="F63" s="40" t="s">
        <v>3148</v>
      </c>
      <c r="G63">
        <v>2008</v>
      </c>
      <c r="H63">
        <v>1702</v>
      </c>
      <c r="I63" s="40" t="s">
        <v>1005</v>
      </c>
      <c r="J63" s="40" t="s">
        <v>3149</v>
      </c>
      <c r="K63" s="40" t="s">
        <v>3150</v>
      </c>
      <c r="L63" s="39">
        <v>39868</v>
      </c>
      <c r="M63">
        <v>8</v>
      </c>
      <c r="N63">
        <v>1</v>
      </c>
      <c r="O63">
        <v>111</v>
      </c>
      <c r="P63" s="40" t="s">
        <v>1008</v>
      </c>
      <c r="Q63">
        <v>1</v>
      </c>
      <c r="R63">
        <v>1</v>
      </c>
      <c r="S63">
        <v>2</v>
      </c>
    </row>
    <row r="64" spans="1:19">
      <c r="A64" s="39">
        <v>39937</v>
      </c>
      <c r="B64">
        <v>1</v>
      </c>
      <c r="D64" s="40" t="s">
        <v>3151</v>
      </c>
      <c r="E64" s="40" t="s">
        <v>3152</v>
      </c>
      <c r="F64" s="40" t="s">
        <v>3153</v>
      </c>
      <c r="G64">
        <v>2008</v>
      </c>
      <c r="H64">
        <v>1702</v>
      </c>
      <c r="I64" s="40" t="s">
        <v>1005</v>
      </c>
      <c r="J64" s="40" t="s">
        <v>3154</v>
      </c>
      <c r="K64" s="40" t="s">
        <v>3155</v>
      </c>
      <c r="L64" s="39">
        <v>39875</v>
      </c>
      <c r="M64">
        <v>6</v>
      </c>
      <c r="N64">
        <v>3</v>
      </c>
      <c r="O64">
        <v>111</v>
      </c>
      <c r="P64" s="40" t="s">
        <v>1008</v>
      </c>
      <c r="Q64">
        <v>1</v>
      </c>
      <c r="R64">
        <v>1</v>
      </c>
      <c r="S64">
        <v>2</v>
      </c>
    </row>
    <row r="65" spans="1:19">
      <c r="A65" s="39">
        <v>39937</v>
      </c>
      <c r="B65">
        <v>1</v>
      </c>
      <c r="D65" s="40" t="s">
        <v>3156</v>
      </c>
      <c r="E65" s="40" t="s">
        <v>3157</v>
      </c>
      <c r="F65" s="40" t="s">
        <v>3158</v>
      </c>
      <c r="G65">
        <v>2008</v>
      </c>
      <c r="H65">
        <v>1702</v>
      </c>
      <c r="I65" s="40" t="s">
        <v>1005</v>
      </c>
      <c r="J65" s="40" t="s">
        <v>3159</v>
      </c>
      <c r="K65" s="40" t="s">
        <v>3160</v>
      </c>
      <c r="L65" s="39">
        <v>39868</v>
      </c>
      <c r="M65">
        <v>9</v>
      </c>
      <c r="N65">
        <v>0</v>
      </c>
      <c r="O65">
        <v>111</v>
      </c>
      <c r="P65" s="40" t="s">
        <v>1008</v>
      </c>
      <c r="Q65">
        <v>1</v>
      </c>
      <c r="R65">
        <v>1</v>
      </c>
      <c r="S65">
        <v>2</v>
      </c>
    </row>
    <row r="66" spans="1:19">
      <c r="A66" s="39">
        <v>39951</v>
      </c>
      <c r="B66">
        <v>1</v>
      </c>
      <c r="D66" s="40" t="s">
        <v>3161</v>
      </c>
      <c r="E66" s="40" t="s">
        <v>3162</v>
      </c>
      <c r="F66" s="40" t="s">
        <v>3163</v>
      </c>
      <c r="G66">
        <v>2008</v>
      </c>
      <c r="H66">
        <v>1702</v>
      </c>
      <c r="I66" s="40" t="s">
        <v>1005</v>
      </c>
      <c r="J66" s="40" t="s">
        <v>3164</v>
      </c>
      <c r="K66" s="40" t="s">
        <v>3165</v>
      </c>
      <c r="L66" s="39">
        <v>39792</v>
      </c>
      <c r="M66">
        <v>5</v>
      </c>
      <c r="N66">
        <v>4</v>
      </c>
      <c r="O66">
        <v>111</v>
      </c>
      <c r="P66" s="40" t="s">
        <v>1008</v>
      </c>
      <c r="Q66">
        <v>1</v>
      </c>
      <c r="R66">
        <v>1</v>
      </c>
      <c r="S66">
        <v>2</v>
      </c>
    </row>
    <row r="67" spans="1:19">
      <c r="A67" s="39">
        <v>39951</v>
      </c>
      <c r="B67">
        <v>1</v>
      </c>
      <c r="D67" s="40" t="s">
        <v>3166</v>
      </c>
      <c r="E67" s="40" t="s">
        <v>3167</v>
      </c>
      <c r="F67" s="40" t="s">
        <v>3168</v>
      </c>
      <c r="G67">
        <v>2008</v>
      </c>
      <c r="H67">
        <v>1702</v>
      </c>
      <c r="I67" s="40" t="s">
        <v>1005</v>
      </c>
      <c r="J67" s="40" t="s">
        <v>3169</v>
      </c>
      <c r="K67" s="40" t="s">
        <v>3170</v>
      </c>
      <c r="L67" s="39">
        <v>39792</v>
      </c>
      <c r="M67">
        <v>7</v>
      </c>
      <c r="N67">
        <v>2</v>
      </c>
      <c r="O67">
        <v>111</v>
      </c>
      <c r="P67" s="40" t="s">
        <v>1008</v>
      </c>
      <c r="Q67">
        <v>1</v>
      </c>
      <c r="R67">
        <v>1</v>
      </c>
      <c r="S67">
        <v>2</v>
      </c>
    </row>
    <row r="68" spans="1:19">
      <c r="A68" s="39">
        <v>39959</v>
      </c>
      <c r="B68">
        <v>1</v>
      </c>
      <c r="D68" s="40" t="s">
        <v>3171</v>
      </c>
      <c r="E68" s="40" t="s">
        <v>3172</v>
      </c>
      <c r="F68" s="40" t="s">
        <v>3173</v>
      </c>
      <c r="G68">
        <v>2008</v>
      </c>
      <c r="H68">
        <v>1702</v>
      </c>
      <c r="I68" s="40" t="s">
        <v>1005</v>
      </c>
      <c r="J68" s="40" t="s">
        <v>3174</v>
      </c>
      <c r="K68" s="40" t="s">
        <v>3175</v>
      </c>
      <c r="L68" s="39">
        <v>39785</v>
      </c>
      <c r="M68">
        <v>5</v>
      </c>
      <c r="N68">
        <v>4</v>
      </c>
      <c r="O68">
        <v>111</v>
      </c>
      <c r="P68" s="40" t="s">
        <v>1008</v>
      </c>
      <c r="Q68">
        <v>2</v>
      </c>
      <c r="R68">
        <v>1</v>
      </c>
      <c r="S68">
        <v>1</v>
      </c>
    </row>
    <row r="69" spans="1:19">
      <c r="A69" s="39">
        <v>39959</v>
      </c>
      <c r="B69">
        <v>1</v>
      </c>
      <c r="D69" s="40" t="s">
        <v>3176</v>
      </c>
      <c r="E69" s="40" t="s">
        <v>3177</v>
      </c>
      <c r="F69" s="40" t="s">
        <v>3178</v>
      </c>
      <c r="G69">
        <v>2008</v>
      </c>
      <c r="H69">
        <v>1702</v>
      </c>
      <c r="I69" s="40" t="s">
        <v>1005</v>
      </c>
      <c r="J69" s="40" t="s">
        <v>3179</v>
      </c>
      <c r="K69" s="40" t="s">
        <v>3180</v>
      </c>
      <c r="L69" s="39">
        <v>39876</v>
      </c>
      <c r="M69">
        <v>9</v>
      </c>
      <c r="N69">
        <v>0</v>
      </c>
      <c r="O69">
        <v>111</v>
      </c>
      <c r="P69" s="40" t="s">
        <v>1008</v>
      </c>
      <c r="Q69">
        <v>1</v>
      </c>
      <c r="R69">
        <v>1</v>
      </c>
      <c r="S69">
        <v>2</v>
      </c>
    </row>
    <row r="70" spans="1:19">
      <c r="A70" s="39">
        <v>39965</v>
      </c>
      <c r="B70">
        <v>1</v>
      </c>
      <c r="D70" s="40" t="s">
        <v>3181</v>
      </c>
      <c r="E70" s="40" t="s">
        <v>3182</v>
      </c>
      <c r="F70" s="40" t="s">
        <v>3183</v>
      </c>
      <c r="G70">
        <v>2008</v>
      </c>
      <c r="H70">
        <v>1702</v>
      </c>
      <c r="I70" s="40" t="s">
        <v>1005</v>
      </c>
      <c r="J70" s="40" t="s">
        <v>3184</v>
      </c>
      <c r="K70" s="40" t="s">
        <v>3185</v>
      </c>
      <c r="L70" s="39">
        <v>39930</v>
      </c>
      <c r="M70">
        <v>9</v>
      </c>
      <c r="N70">
        <v>0</v>
      </c>
      <c r="O70">
        <v>111</v>
      </c>
      <c r="P70" s="40" t="s">
        <v>1008</v>
      </c>
      <c r="Q70">
        <v>1</v>
      </c>
      <c r="R70">
        <v>1</v>
      </c>
      <c r="S70">
        <v>2</v>
      </c>
    </row>
    <row r="71" spans="1:19">
      <c r="A71" s="39">
        <v>39972</v>
      </c>
      <c r="B71">
        <v>1</v>
      </c>
      <c r="D71" s="40" t="s">
        <v>3186</v>
      </c>
      <c r="E71" s="40" t="s">
        <v>3187</v>
      </c>
      <c r="F71" s="40" t="s">
        <v>3188</v>
      </c>
      <c r="G71">
        <v>2008</v>
      </c>
      <c r="H71">
        <v>1702</v>
      </c>
      <c r="I71" s="40" t="s">
        <v>1005</v>
      </c>
      <c r="J71" s="40" t="s">
        <v>3189</v>
      </c>
      <c r="K71" s="40" t="s">
        <v>3190</v>
      </c>
      <c r="L71" s="39">
        <v>39923</v>
      </c>
      <c r="M71">
        <v>9</v>
      </c>
      <c r="N71">
        <v>0</v>
      </c>
      <c r="O71">
        <v>111</v>
      </c>
      <c r="P71" s="40" t="s">
        <v>1008</v>
      </c>
      <c r="Q71">
        <v>1</v>
      </c>
      <c r="R71">
        <v>1</v>
      </c>
      <c r="S71">
        <v>2</v>
      </c>
    </row>
    <row r="72" spans="1:19">
      <c r="A72" s="39">
        <v>39972</v>
      </c>
      <c r="B72">
        <v>1</v>
      </c>
      <c r="D72" s="40" t="s">
        <v>3191</v>
      </c>
      <c r="E72" s="40" t="s">
        <v>3192</v>
      </c>
      <c r="F72" s="40" t="s">
        <v>3193</v>
      </c>
      <c r="G72">
        <v>2008</v>
      </c>
      <c r="H72">
        <v>1702</v>
      </c>
      <c r="I72" s="40" t="s">
        <v>1005</v>
      </c>
      <c r="J72" s="40" t="s">
        <v>3194</v>
      </c>
      <c r="K72" s="40" t="s">
        <v>3195</v>
      </c>
      <c r="L72" s="39">
        <v>39875</v>
      </c>
      <c r="M72">
        <v>5</v>
      </c>
      <c r="N72">
        <v>4</v>
      </c>
      <c r="O72">
        <v>111</v>
      </c>
      <c r="P72" s="40" t="s">
        <v>1008</v>
      </c>
      <c r="Q72">
        <v>2</v>
      </c>
      <c r="R72">
        <v>1</v>
      </c>
      <c r="S72">
        <v>1</v>
      </c>
    </row>
    <row r="73" spans="1:19">
      <c r="A73" s="39">
        <v>39972</v>
      </c>
      <c r="B73">
        <v>1</v>
      </c>
      <c r="D73" s="40" t="s">
        <v>3196</v>
      </c>
      <c r="E73" s="40" t="s">
        <v>3197</v>
      </c>
      <c r="F73" s="40" t="s">
        <v>3198</v>
      </c>
      <c r="G73">
        <v>2008</v>
      </c>
      <c r="H73">
        <v>1702</v>
      </c>
      <c r="I73" s="40" t="s">
        <v>1005</v>
      </c>
      <c r="J73" s="40" t="s">
        <v>3199</v>
      </c>
      <c r="K73" s="40" t="s">
        <v>3200</v>
      </c>
      <c r="L73" s="39">
        <v>39897</v>
      </c>
      <c r="M73">
        <v>5</v>
      </c>
      <c r="N73">
        <v>4</v>
      </c>
      <c r="O73">
        <v>111</v>
      </c>
      <c r="P73" s="40" t="s">
        <v>1008</v>
      </c>
      <c r="Q73">
        <v>2</v>
      </c>
      <c r="R73">
        <v>1</v>
      </c>
      <c r="S73">
        <v>1</v>
      </c>
    </row>
    <row r="74" spans="1:19">
      <c r="A74" s="39">
        <v>39972</v>
      </c>
      <c r="B74">
        <v>1</v>
      </c>
      <c r="D74" s="40" t="s">
        <v>3201</v>
      </c>
      <c r="E74" s="40" t="s">
        <v>3202</v>
      </c>
      <c r="F74" s="40" t="s">
        <v>3203</v>
      </c>
      <c r="G74">
        <v>2008</v>
      </c>
      <c r="H74">
        <v>1702</v>
      </c>
      <c r="I74" s="40" t="s">
        <v>1005</v>
      </c>
      <c r="J74" s="40" t="s">
        <v>3204</v>
      </c>
      <c r="K74" s="40" t="s">
        <v>3205</v>
      </c>
      <c r="L74" s="39">
        <v>39924</v>
      </c>
      <c r="M74">
        <v>9</v>
      </c>
      <c r="N74">
        <v>0</v>
      </c>
      <c r="O74">
        <v>111</v>
      </c>
      <c r="P74" s="40" t="s">
        <v>1008</v>
      </c>
      <c r="Q74">
        <v>1</v>
      </c>
      <c r="R74">
        <v>1</v>
      </c>
      <c r="S74">
        <v>2</v>
      </c>
    </row>
    <row r="75" spans="1:19">
      <c r="A75" s="39">
        <v>39979</v>
      </c>
      <c r="B75">
        <v>1</v>
      </c>
      <c r="D75" s="40" t="s">
        <v>3206</v>
      </c>
      <c r="E75" s="40" t="s">
        <v>3207</v>
      </c>
      <c r="F75" s="40" t="s">
        <v>3208</v>
      </c>
      <c r="G75">
        <v>2008</v>
      </c>
      <c r="H75">
        <v>1702</v>
      </c>
      <c r="I75" s="40" t="s">
        <v>1005</v>
      </c>
      <c r="J75" s="40" t="s">
        <v>3209</v>
      </c>
      <c r="K75" s="40" t="s">
        <v>3210</v>
      </c>
      <c r="L75" s="39">
        <v>39930</v>
      </c>
      <c r="M75">
        <v>9</v>
      </c>
      <c r="N75">
        <v>0</v>
      </c>
      <c r="O75">
        <v>111</v>
      </c>
      <c r="P75" s="40" t="s">
        <v>1008</v>
      </c>
      <c r="Q75">
        <v>1</v>
      </c>
      <c r="R75">
        <v>1</v>
      </c>
      <c r="S75">
        <v>2</v>
      </c>
    </row>
    <row r="76" spans="1:19">
      <c r="A76" s="39">
        <v>39982</v>
      </c>
      <c r="B76">
        <v>1</v>
      </c>
      <c r="D76" s="40" t="s">
        <v>3211</v>
      </c>
      <c r="E76" s="40" t="s">
        <v>3212</v>
      </c>
      <c r="F76" s="40" t="s">
        <v>3213</v>
      </c>
      <c r="G76">
        <v>2008</v>
      </c>
      <c r="H76">
        <v>1702</v>
      </c>
      <c r="I76" s="40" t="s">
        <v>1005</v>
      </c>
      <c r="J76" s="40" t="s">
        <v>3214</v>
      </c>
      <c r="K76" s="40" t="s">
        <v>3215</v>
      </c>
      <c r="L76" s="39">
        <v>39902</v>
      </c>
      <c r="M76">
        <v>7</v>
      </c>
      <c r="N76">
        <v>2</v>
      </c>
      <c r="O76">
        <v>111</v>
      </c>
      <c r="P76" s="40" t="s">
        <v>1008</v>
      </c>
      <c r="Q76">
        <v>1</v>
      </c>
      <c r="R76">
        <v>1</v>
      </c>
      <c r="S76">
        <v>2</v>
      </c>
    </row>
    <row r="77" spans="1:19">
      <c r="A77" s="39">
        <v>39982</v>
      </c>
      <c r="B77">
        <v>1</v>
      </c>
      <c r="D77" s="40" t="s">
        <v>3216</v>
      </c>
      <c r="E77" s="40" t="s">
        <v>3217</v>
      </c>
      <c r="F77" s="40" t="s">
        <v>3218</v>
      </c>
      <c r="G77">
        <v>2008</v>
      </c>
      <c r="H77">
        <v>1702</v>
      </c>
      <c r="I77" s="40" t="s">
        <v>1005</v>
      </c>
      <c r="J77" s="40" t="s">
        <v>3219</v>
      </c>
      <c r="K77" s="40" t="s">
        <v>3220</v>
      </c>
      <c r="L77" s="39">
        <v>39903</v>
      </c>
      <c r="M77">
        <v>5</v>
      </c>
      <c r="N77">
        <v>4</v>
      </c>
      <c r="O77">
        <v>111</v>
      </c>
      <c r="P77" s="40" t="s">
        <v>1008</v>
      </c>
      <c r="Q77">
        <v>1</v>
      </c>
      <c r="R77">
        <v>1</v>
      </c>
      <c r="S77">
        <v>2</v>
      </c>
    </row>
    <row r="78" spans="1:19">
      <c r="A78" s="39">
        <v>39986</v>
      </c>
      <c r="B78">
        <v>1</v>
      </c>
      <c r="D78" s="40" t="s">
        <v>3221</v>
      </c>
      <c r="E78" s="40" t="s">
        <v>3222</v>
      </c>
      <c r="F78" s="40" t="s">
        <v>3223</v>
      </c>
      <c r="G78">
        <v>2008</v>
      </c>
      <c r="H78">
        <v>1702</v>
      </c>
      <c r="I78" s="40" t="s">
        <v>1005</v>
      </c>
      <c r="J78" s="40" t="s">
        <v>3224</v>
      </c>
      <c r="K78" s="40" t="s">
        <v>3225</v>
      </c>
      <c r="L78" s="39">
        <v>39932</v>
      </c>
      <c r="M78">
        <v>8</v>
      </c>
      <c r="N78">
        <v>1</v>
      </c>
      <c r="O78">
        <v>111</v>
      </c>
      <c r="P78" s="40" t="s">
        <v>1008</v>
      </c>
      <c r="Q78">
        <v>1</v>
      </c>
      <c r="R78">
        <v>1</v>
      </c>
      <c r="S78">
        <v>2</v>
      </c>
    </row>
    <row r="79" spans="1:19">
      <c r="A79" s="39">
        <v>39986</v>
      </c>
      <c r="B79">
        <v>1</v>
      </c>
      <c r="D79" s="40" t="s">
        <v>3226</v>
      </c>
      <c r="E79" s="40" t="s">
        <v>3227</v>
      </c>
      <c r="F79" s="40" t="s">
        <v>3228</v>
      </c>
      <c r="G79">
        <v>2008</v>
      </c>
      <c r="H79">
        <v>1702</v>
      </c>
      <c r="I79" s="40" t="s">
        <v>1005</v>
      </c>
      <c r="J79" s="40" t="s">
        <v>3229</v>
      </c>
      <c r="K79" s="40" t="s">
        <v>3230</v>
      </c>
      <c r="L79" s="39">
        <v>39931</v>
      </c>
      <c r="M79">
        <v>6</v>
      </c>
      <c r="N79">
        <v>3</v>
      </c>
      <c r="O79">
        <v>111</v>
      </c>
      <c r="P79" s="40" t="s">
        <v>1008</v>
      </c>
      <c r="Q79">
        <v>1</v>
      </c>
      <c r="R79">
        <v>1</v>
      </c>
      <c r="S79">
        <v>2</v>
      </c>
    </row>
    <row r="80" spans="1:19">
      <c r="A80" s="39">
        <v>39986</v>
      </c>
      <c r="B80">
        <v>1</v>
      </c>
      <c r="D80" s="40" t="s">
        <v>3231</v>
      </c>
      <c r="E80" s="40" t="s">
        <v>3232</v>
      </c>
      <c r="F80" s="40" t="s">
        <v>3233</v>
      </c>
      <c r="G80">
        <v>2008</v>
      </c>
      <c r="H80">
        <v>1702</v>
      </c>
      <c r="I80" s="40" t="s">
        <v>1005</v>
      </c>
      <c r="J80" s="40" t="s">
        <v>3234</v>
      </c>
      <c r="K80" s="40" t="s">
        <v>3235</v>
      </c>
      <c r="L80" s="39">
        <v>39825</v>
      </c>
      <c r="M80">
        <v>6</v>
      </c>
      <c r="N80">
        <v>3</v>
      </c>
      <c r="O80">
        <v>111</v>
      </c>
      <c r="P80" s="40" t="s">
        <v>1008</v>
      </c>
      <c r="Q80">
        <v>1</v>
      </c>
      <c r="R80">
        <v>1</v>
      </c>
      <c r="S80">
        <v>2</v>
      </c>
    </row>
    <row r="81" spans="1:19">
      <c r="A81" s="39">
        <v>39989</v>
      </c>
      <c r="B81">
        <v>1</v>
      </c>
      <c r="D81" s="40" t="s">
        <v>3236</v>
      </c>
      <c r="E81" s="40" t="s">
        <v>3237</v>
      </c>
      <c r="F81" s="40" t="s">
        <v>3238</v>
      </c>
      <c r="G81">
        <v>2008</v>
      </c>
      <c r="H81">
        <v>1702</v>
      </c>
      <c r="I81" s="40" t="s">
        <v>1005</v>
      </c>
      <c r="J81" s="40" t="s">
        <v>3239</v>
      </c>
      <c r="K81" s="40" t="s">
        <v>3240</v>
      </c>
      <c r="L81" s="39">
        <v>39762</v>
      </c>
      <c r="M81">
        <v>5</v>
      </c>
      <c r="N81">
        <v>4</v>
      </c>
      <c r="O81">
        <v>111</v>
      </c>
      <c r="P81" s="40" t="s">
        <v>1008</v>
      </c>
      <c r="Q81">
        <v>2</v>
      </c>
      <c r="R81">
        <v>1</v>
      </c>
      <c r="S81">
        <v>1</v>
      </c>
    </row>
    <row r="82" spans="1:19">
      <c r="A82" s="39">
        <v>39989</v>
      </c>
      <c r="B82">
        <v>1</v>
      </c>
      <c r="D82" s="40" t="s">
        <v>3241</v>
      </c>
      <c r="E82" s="40" t="s">
        <v>3242</v>
      </c>
      <c r="F82" s="40" t="s">
        <v>3243</v>
      </c>
      <c r="G82">
        <v>2008</v>
      </c>
      <c r="H82">
        <v>1702</v>
      </c>
      <c r="I82" s="40" t="s">
        <v>1005</v>
      </c>
      <c r="J82" s="40" t="s">
        <v>3244</v>
      </c>
      <c r="K82" s="40" t="s">
        <v>3245</v>
      </c>
      <c r="L82" s="39">
        <v>39924</v>
      </c>
      <c r="M82">
        <v>8</v>
      </c>
      <c r="N82">
        <v>1</v>
      </c>
      <c r="O82">
        <v>111</v>
      </c>
      <c r="P82" s="40" t="s">
        <v>1008</v>
      </c>
      <c r="Q82">
        <v>1</v>
      </c>
      <c r="R82">
        <v>1</v>
      </c>
      <c r="S82">
        <v>2</v>
      </c>
    </row>
    <row r="83" spans="1:19">
      <c r="A83" s="39">
        <v>39993</v>
      </c>
      <c r="B83">
        <v>1</v>
      </c>
      <c r="D83" s="40" t="s">
        <v>3246</v>
      </c>
      <c r="E83" s="40" t="s">
        <v>3247</v>
      </c>
      <c r="F83" s="40" t="s">
        <v>3248</v>
      </c>
      <c r="G83">
        <v>2008</v>
      </c>
      <c r="H83">
        <v>1702</v>
      </c>
      <c r="I83" s="40" t="s">
        <v>1005</v>
      </c>
      <c r="J83" s="40" t="s">
        <v>3249</v>
      </c>
      <c r="K83" s="40" t="s">
        <v>3250</v>
      </c>
      <c r="L83" s="39">
        <v>39931</v>
      </c>
      <c r="M83">
        <v>5</v>
      </c>
      <c r="N83">
        <v>4</v>
      </c>
      <c r="O83">
        <v>111</v>
      </c>
      <c r="P83" s="40" t="s">
        <v>1008</v>
      </c>
      <c r="Q83">
        <v>2</v>
      </c>
      <c r="R83">
        <v>1</v>
      </c>
      <c r="S83">
        <v>1</v>
      </c>
    </row>
    <row r="84" spans="1:19">
      <c r="A84" s="39">
        <v>39881</v>
      </c>
      <c r="B84">
        <v>7</v>
      </c>
      <c r="D84" s="40" t="s">
        <v>3251</v>
      </c>
      <c r="E84" s="40" t="s">
        <v>3252</v>
      </c>
      <c r="F84" s="40" t="s">
        <v>3253</v>
      </c>
      <c r="G84">
        <v>2008</v>
      </c>
      <c r="H84">
        <v>1702</v>
      </c>
      <c r="I84" s="40" t="s">
        <v>1005</v>
      </c>
      <c r="J84" s="40" t="s">
        <v>3254</v>
      </c>
      <c r="K84" s="40" t="s">
        <v>3255</v>
      </c>
      <c r="L84" s="39">
        <v>39735</v>
      </c>
      <c r="M84">
        <v>5</v>
      </c>
      <c r="N84">
        <v>4</v>
      </c>
      <c r="O84">
        <v>111</v>
      </c>
      <c r="P84" s="40" t="s">
        <v>1008</v>
      </c>
      <c r="Q84">
        <v>1</v>
      </c>
      <c r="R84">
        <v>1</v>
      </c>
      <c r="S84">
        <v>2</v>
      </c>
    </row>
    <row r="85" spans="1:19">
      <c r="A85" s="39"/>
      <c r="D85" s="40"/>
      <c r="E85" s="40"/>
      <c r="F85" s="40"/>
      <c r="I85" s="40"/>
      <c r="J85" s="40"/>
      <c r="K85" s="40"/>
      <c r="L85" s="39"/>
      <c r="P85" s="40"/>
    </row>
    <row r="86" spans="1:19">
      <c r="A86" s="39"/>
      <c r="D86" s="40"/>
      <c r="E86" s="40"/>
      <c r="F86" s="40"/>
      <c r="I86" s="40"/>
      <c r="J86" s="40"/>
      <c r="K86" s="40"/>
      <c r="L86" s="39"/>
      <c r="P86" s="40"/>
    </row>
    <row r="87" spans="1:19">
      <c r="A87" s="39">
        <v>39735</v>
      </c>
      <c r="B87">
        <v>2</v>
      </c>
      <c r="D87" s="40" t="s">
        <v>3256</v>
      </c>
      <c r="E87" s="40" t="s">
        <v>3257</v>
      </c>
      <c r="F87" s="40" t="s">
        <v>3258</v>
      </c>
      <c r="G87">
        <v>2008</v>
      </c>
      <c r="H87">
        <v>1702</v>
      </c>
      <c r="I87" s="40" t="s">
        <v>1005</v>
      </c>
      <c r="J87" s="40" t="s">
        <v>3259</v>
      </c>
      <c r="K87" s="40" t="s">
        <v>3260</v>
      </c>
      <c r="M87">
        <v>9</v>
      </c>
      <c r="N87">
        <v>0</v>
      </c>
      <c r="O87">
        <v>111</v>
      </c>
      <c r="P87" s="40" t="s">
        <v>1008</v>
      </c>
      <c r="Q87">
        <v>1</v>
      </c>
      <c r="R87">
        <v>1</v>
      </c>
      <c r="S87">
        <v>2</v>
      </c>
    </row>
    <row r="88" spans="1:19">
      <c r="A88" s="39">
        <v>39738</v>
      </c>
      <c r="B88">
        <v>2</v>
      </c>
      <c r="D88" s="40" t="s">
        <v>3261</v>
      </c>
      <c r="E88" s="40" t="s">
        <v>3262</v>
      </c>
      <c r="F88" s="40" t="s">
        <v>3263</v>
      </c>
      <c r="G88">
        <v>2008</v>
      </c>
      <c r="H88">
        <v>1702</v>
      </c>
      <c r="I88" s="40" t="s">
        <v>1005</v>
      </c>
      <c r="J88" s="40" t="s">
        <v>3264</v>
      </c>
      <c r="K88" s="40" t="s">
        <v>3265</v>
      </c>
      <c r="M88">
        <v>9</v>
      </c>
      <c r="N88">
        <v>0</v>
      </c>
      <c r="O88">
        <v>111</v>
      </c>
      <c r="P88" s="40" t="s">
        <v>1008</v>
      </c>
      <c r="Q88">
        <v>1</v>
      </c>
      <c r="R88">
        <v>1</v>
      </c>
      <c r="S88">
        <v>2</v>
      </c>
    </row>
    <row r="89" spans="1:19">
      <c r="A89" s="39">
        <v>39834</v>
      </c>
      <c r="B89">
        <v>2</v>
      </c>
      <c r="D89" s="40" t="s">
        <v>3266</v>
      </c>
      <c r="E89" s="40" t="s">
        <v>3267</v>
      </c>
      <c r="F89" s="40" t="s">
        <v>3268</v>
      </c>
      <c r="G89">
        <v>2008</v>
      </c>
      <c r="H89">
        <v>1702</v>
      </c>
      <c r="I89" s="40" t="s">
        <v>1005</v>
      </c>
      <c r="J89" s="40" t="s">
        <v>3269</v>
      </c>
      <c r="K89" s="40" t="s">
        <v>3270</v>
      </c>
      <c r="M89">
        <v>5</v>
      </c>
      <c r="N89">
        <v>3</v>
      </c>
      <c r="O89">
        <v>111</v>
      </c>
      <c r="P89" s="40" t="s">
        <v>1008</v>
      </c>
      <c r="Q89">
        <v>2</v>
      </c>
      <c r="R89">
        <v>1</v>
      </c>
      <c r="S89">
        <v>1</v>
      </c>
    </row>
    <row r="90" spans="1:19">
      <c r="A90" s="39">
        <v>39839</v>
      </c>
      <c r="B90">
        <v>2</v>
      </c>
      <c r="D90" s="40" t="s">
        <v>3271</v>
      </c>
      <c r="E90" s="40" t="s">
        <v>3272</v>
      </c>
      <c r="F90" s="40" t="s">
        <v>3273</v>
      </c>
      <c r="G90">
        <v>2008</v>
      </c>
      <c r="H90">
        <v>1702</v>
      </c>
      <c r="I90" s="40" t="s">
        <v>1005</v>
      </c>
      <c r="J90" s="40" t="s">
        <v>3274</v>
      </c>
      <c r="K90" s="40" t="s">
        <v>3275</v>
      </c>
      <c r="M90">
        <v>9</v>
      </c>
      <c r="N90">
        <v>0</v>
      </c>
      <c r="O90">
        <v>111</v>
      </c>
      <c r="P90" s="40" t="s">
        <v>1008</v>
      </c>
      <c r="Q90">
        <v>4</v>
      </c>
      <c r="R90">
        <v>1</v>
      </c>
      <c r="S90">
        <v>2</v>
      </c>
    </row>
    <row r="91" spans="1:19">
      <c r="A91" s="39">
        <v>39965</v>
      </c>
      <c r="B91">
        <v>2</v>
      </c>
      <c r="D91" s="40" t="s">
        <v>3276</v>
      </c>
      <c r="E91" s="40" t="s">
        <v>3277</v>
      </c>
      <c r="F91" s="40" t="s">
        <v>3278</v>
      </c>
      <c r="G91">
        <v>2008</v>
      </c>
      <c r="H91">
        <v>1702</v>
      </c>
      <c r="I91" s="40" t="s">
        <v>1005</v>
      </c>
      <c r="J91" s="40" t="s">
        <v>3279</v>
      </c>
      <c r="K91" s="40" t="s">
        <v>3280</v>
      </c>
      <c r="M91">
        <v>7</v>
      </c>
      <c r="N91">
        <v>2</v>
      </c>
      <c r="O91">
        <v>111</v>
      </c>
      <c r="P91" s="40" t="s">
        <v>1008</v>
      </c>
      <c r="Q91">
        <v>1</v>
      </c>
      <c r="R91">
        <v>1</v>
      </c>
      <c r="S91">
        <v>2</v>
      </c>
    </row>
    <row r="92" spans="1:19">
      <c r="A92" s="39">
        <v>39973</v>
      </c>
      <c r="B92">
        <v>2</v>
      </c>
      <c r="D92" s="40" t="s">
        <v>3281</v>
      </c>
      <c r="E92" s="40" t="s">
        <v>3282</v>
      </c>
      <c r="F92" s="40" t="s">
        <v>3283</v>
      </c>
      <c r="G92">
        <v>2008</v>
      </c>
      <c r="H92">
        <v>1702</v>
      </c>
      <c r="I92" s="40" t="s">
        <v>1005</v>
      </c>
      <c r="J92" s="40" t="s">
        <v>3284</v>
      </c>
      <c r="K92" s="40" t="s">
        <v>3285</v>
      </c>
      <c r="M92">
        <v>9</v>
      </c>
      <c r="N92">
        <v>0</v>
      </c>
      <c r="O92">
        <v>111</v>
      </c>
      <c r="P92" s="40" t="s">
        <v>1008</v>
      </c>
      <c r="Q92">
        <v>1</v>
      </c>
      <c r="R92">
        <v>1</v>
      </c>
      <c r="S92">
        <v>2</v>
      </c>
    </row>
    <row r="93" spans="1:19">
      <c r="A93" s="39">
        <v>39769</v>
      </c>
      <c r="B93">
        <v>6</v>
      </c>
      <c r="D93" s="40" t="s">
        <v>3286</v>
      </c>
      <c r="E93" s="40" t="s">
        <v>3287</v>
      </c>
      <c r="F93" s="40" t="s">
        <v>3288</v>
      </c>
      <c r="G93">
        <v>2008</v>
      </c>
      <c r="H93">
        <v>1702</v>
      </c>
      <c r="I93" s="40" t="s">
        <v>1005</v>
      </c>
      <c r="J93" s="40" t="s">
        <v>3289</v>
      </c>
      <c r="K93" s="40" t="s">
        <v>3290</v>
      </c>
      <c r="M93">
        <v>9</v>
      </c>
      <c r="N93">
        <v>0</v>
      </c>
      <c r="O93">
        <v>111</v>
      </c>
      <c r="P93" s="40" t="s">
        <v>1008</v>
      </c>
      <c r="Q93">
        <v>1</v>
      </c>
      <c r="R93">
        <v>1</v>
      </c>
      <c r="S93">
        <v>2</v>
      </c>
    </row>
    <row r="94" spans="1:19">
      <c r="A94" s="39">
        <v>39784</v>
      </c>
      <c r="B94">
        <v>6</v>
      </c>
      <c r="D94" s="40" t="s">
        <v>3291</v>
      </c>
      <c r="E94" s="40" t="s">
        <v>3292</v>
      </c>
      <c r="F94" s="40" t="s">
        <v>3293</v>
      </c>
      <c r="G94">
        <v>2008</v>
      </c>
      <c r="H94">
        <v>1702</v>
      </c>
      <c r="I94" s="40" t="s">
        <v>1005</v>
      </c>
      <c r="J94" s="40" t="s">
        <v>3294</v>
      </c>
      <c r="K94" s="40" t="s">
        <v>3295</v>
      </c>
      <c r="L94" s="39">
        <v>39736</v>
      </c>
      <c r="M94">
        <v>6</v>
      </c>
      <c r="N94">
        <v>3</v>
      </c>
      <c r="O94">
        <v>111</v>
      </c>
      <c r="P94" s="40" t="s">
        <v>1008</v>
      </c>
      <c r="Q94">
        <v>1</v>
      </c>
      <c r="R94">
        <v>1</v>
      </c>
      <c r="S94">
        <v>2</v>
      </c>
    </row>
    <row r="95" spans="1:19">
      <c r="A95" s="39">
        <v>39903</v>
      </c>
      <c r="B95">
        <v>6</v>
      </c>
      <c r="D95" s="40" t="s">
        <v>2896</v>
      </c>
      <c r="E95" s="40" t="s">
        <v>3296</v>
      </c>
      <c r="F95" s="40" t="s">
        <v>3297</v>
      </c>
      <c r="G95">
        <v>2008</v>
      </c>
      <c r="H95">
        <v>1702</v>
      </c>
      <c r="I95" s="40" t="s">
        <v>1005</v>
      </c>
      <c r="J95" s="40" t="s">
        <v>3298</v>
      </c>
      <c r="K95" s="40" t="s">
        <v>3299</v>
      </c>
      <c r="L95" s="39">
        <v>39785</v>
      </c>
      <c r="M95">
        <v>9</v>
      </c>
      <c r="N95">
        <v>0</v>
      </c>
      <c r="O95">
        <v>111</v>
      </c>
      <c r="P95" s="40" t="s">
        <v>1008</v>
      </c>
      <c r="Q95">
        <v>1</v>
      </c>
      <c r="R95">
        <v>1</v>
      </c>
      <c r="S95">
        <v>2</v>
      </c>
    </row>
    <row r="96" spans="1:19">
      <c r="A96" s="39"/>
      <c r="D96" s="40"/>
      <c r="E96" s="40"/>
      <c r="F96" s="40"/>
      <c r="I96" s="40"/>
      <c r="J96" s="40"/>
      <c r="K96" s="40"/>
      <c r="L96" s="39"/>
      <c r="P96" s="40"/>
    </row>
    <row r="97" spans="1:16">
      <c r="A97" s="68" t="s">
        <v>3554</v>
      </c>
      <c r="B97" s="68" t="s">
        <v>3555</v>
      </c>
      <c r="C97" s="68" t="s">
        <v>3556</v>
      </c>
      <c r="D97" s="68" t="s">
        <v>3557</v>
      </c>
      <c r="E97" s="68" t="s">
        <v>3558</v>
      </c>
      <c r="F97" s="40"/>
      <c r="I97" s="40"/>
      <c r="J97" s="40"/>
      <c r="K97" s="40"/>
      <c r="L97" s="39"/>
      <c r="P97" s="40"/>
    </row>
    <row r="98" spans="1:16" ht="28">
      <c r="A98" s="69">
        <v>39951</v>
      </c>
      <c r="B98" s="72">
        <v>2624816</v>
      </c>
      <c r="C98" s="71" t="s">
        <v>3559</v>
      </c>
      <c r="D98" s="70" t="s">
        <v>3560</v>
      </c>
      <c r="E98" s="70" t="s">
        <v>3561</v>
      </c>
      <c r="F98" s="40"/>
      <c r="I98" s="40"/>
      <c r="J98" s="40"/>
      <c r="K98" s="40"/>
      <c r="L98" s="39"/>
      <c r="P98" s="40"/>
    </row>
    <row r="99" spans="1:16" ht="28">
      <c r="A99" s="69">
        <v>39951</v>
      </c>
      <c r="B99" s="72">
        <v>1610537</v>
      </c>
      <c r="C99" s="71" t="s">
        <v>3562</v>
      </c>
      <c r="D99" s="70" t="s">
        <v>3560</v>
      </c>
      <c r="E99" s="70" t="s">
        <v>3561</v>
      </c>
      <c r="F99" s="40"/>
      <c r="I99" s="40"/>
      <c r="J99" s="40"/>
      <c r="K99" s="40"/>
      <c r="L99" s="39"/>
      <c r="P99" s="40"/>
    </row>
    <row r="100" spans="1:16">
      <c r="A100" s="39"/>
      <c r="C100" s="42" t="s">
        <v>95</v>
      </c>
      <c r="D100" s="165">
        <f>COUNTA(D98:D99)</f>
        <v>2</v>
      </c>
      <c r="E100" s="40"/>
      <c r="F100" s="40"/>
      <c r="I100" s="40"/>
      <c r="J100" s="40"/>
      <c r="K100" s="40"/>
      <c r="L100" s="39"/>
      <c r="P100" s="40"/>
    </row>
    <row r="101" spans="1:16">
      <c r="A101" s="39"/>
      <c r="D101" s="40"/>
      <c r="E101" s="40"/>
      <c r="F101" s="40"/>
      <c r="I101" s="40"/>
      <c r="J101" s="40"/>
      <c r="K101" s="40"/>
      <c r="L101" s="39"/>
      <c r="P101" s="40"/>
    </row>
    <row r="104" spans="1:16" s="13" customFormat="1" ht="36">
      <c r="A104" s="32" t="s">
        <v>35</v>
      </c>
      <c r="B104" s="32" t="s">
        <v>36</v>
      </c>
      <c r="C104" s="32" t="s">
        <v>37</v>
      </c>
      <c r="D104" s="32" t="s">
        <v>38</v>
      </c>
      <c r="E104" s="32" t="s">
        <v>39</v>
      </c>
      <c r="F104" s="32" t="s">
        <v>40</v>
      </c>
      <c r="G104" s="32" t="s">
        <v>41</v>
      </c>
      <c r="H104" s="32" t="s">
        <v>42</v>
      </c>
      <c r="I104" s="32" t="s">
        <v>1466</v>
      </c>
    </row>
    <row r="105" spans="1:16" s="13" customFormat="1">
      <c r="A105" s="58">
        <v>15</v>
      </c>
      <c r="B105" s="13" t="s">
        <v>3300</v>
      </c>
      <c r="C105" s="13" t="s">
        <v>3301</v>
      </c>
      <c r="D105" s="13" t="s">
        <v>2735</v>
      </c>
      <c r="F105" s="13" t="s">
        <v>1010</v>
      </c>
      <c r="G105" s="13" t="s">
        <v>1524</v>
      </c>
      <c r="H105" s="13" t="s">
        <v>3302</v>
      </c>
      <c r="I105" s="59" t="s">
        <v>1009</v>
      </c>
      <c r="J105" s="59"/>
      <c r="K105" s="59"/>
    </row>
    <row r="106" spans="1:16" s="13" customFormat="1">
      <c r="A106" s="58">
        <v>36</v>
      </c>
      <c r="B106" s="13" t="s">
        <v>3303</v>
      </c>
      <c r="C106" s="13" t="s">
        <v>3304</v>
      </c>
      <c r="D106" s="13" t="s">
        <v>2735</v>
      </c>
      <c r="F106" s="13" t="s">
        <v>1010</v>
      </c>
      <c r="G106" s="13" t="s">
        <v>1514</v>
      </c>
      <c r="H106" s="13" t="s">
        <v>1517</v>
      </c>
      <c r="I106" s="59" t="s">
        <v>1009</v>
      </c>
      <c r="J106" s="59"/>
      <c r="K106" s="59"/>
    </row>
    <row r="107" spans="1:16" s="13" customFormat="1">
      <c r="A107" s="58">
        <v>45</v>
      </c>
      <c r="B107" s="13" t="s">
        <v>3305</v>
      </c>
      <c r="C107" s="13" t="s">
        <v>3306</v>
      </c>
      <c r="D107" s="13" t="s">
        <v>2735</v>
      </c>
      <c r="F107" s="13" t="s">
        <v>1010</v>
      </c>
      <c r="G107" s="13" t="s">
        <v>1514</v>
      </c>
      <c r="H107" s="13" t="s">
        <v>1527</v>
      </c>
      <c r="I107" s="59" t="s">
        <v>1009</v>
      </c>
      <c r="J107" s="59"/>
      <c r="K107" s="59"/>
    </row>
    <row r="108" spans="1:16" s="13" customFormat="1">
      <c r="A108" s="58">
        <v>51</v>
      </c>
      <c r="B108" s="13" t="s">
        <v>3307</v>
      </c>
      <c r="C108" s="13" t="s">
        <v>3308</v>
      </c>
      <c r="D108" s="13" t="s">
        <v>2735</v>
      </c>
      <c r="F108" s="13" t="s">
        <v>1010</v>
      </c>
      <c r="G108" s="13" t="s">
        <v>1524</v>
      </c>
      <c r="H108" s="13" t="s">
        <v>1514</v>
      </c>
      <c r="I108" s="59" t="s">
        <v>1009</v>
      </c>
      <c r="J108" s="59"/>
      <c r="K108" s="59"/>
    </row>
    <row r="109" spans="1:16" s="13" customFormat="1">
      <c r="A109" s="58">
        <v>52</v>
      </c>
      <c r="B109" s="13" t="s">
        <v>3309</v>
      </c>
      <c r="C109" s="13" t="s">
        <v>3310</v>
      </c>
      <c r="D109" s="13" t="s">
        <v>2735</v>
      </c>
      <c r="F109" s="13" t="s">
        <v>1010</v>
      </c>
      <c r="G109" s="13" t="s">
        <v>1524</v>
      </c>
      <c r="H109" s="13" t="s">
        <v>1527</v>
      </c>
      <c r="I109" s="59" t="s">
        <v>1009</v>
      </c>
      <c r="J109" s="59"/>
      <c r="K109" s="59"/>
    </row>
    <row r="110" spans="1:16" s="13" customFormat="1">
      <c r="A110" s="58">
        <v>53</v>
      </c>
      <c r="B110" s="13" t="s">
        <v>3311</v>
      </c>
      <c r="C110" s="13" t="s">
        <v>3312</v>
      </c>
      <c r="D110" s="13" t="s">
        <v>2735</v>
      </c>
      <c r="F110" s="13" t="s">
        <v>1010</v>
      </c>
      <c r="G110" s="13" t="s">
        <v>1524</v>
      </c>
      <c r="H110" s="13" t="s">
        <v>1469</v>
      </c>
      <c r="I110" s="59" t="s">
        <v>1009</v>
      </c>
      <c r="J110" s="59"/>
      <c r="K110" s="59"/>
    </row>
    <row r="111" spans="1:16" s="13" customFormat="1">
      <c r="A111" s="58">
        <v>54</v>
      </c>
      <c r="B111" s="13" t="s">
        <v>3313</v>
      </c>
      <c r="C111" s="13" t="s">
        <v>3314</v>
      </c>
      <c r="D111" s="13" t="s">
        <v>2735</v>
      </c>
      <c r="F111" s="13" t="s">
        <v>1010</v>
      </c>
      <c r="G111" s="13" t="s">
        <v>1514</v>
      </c>
      <c r="H111" s="13" t="s">
        <v>1527</v>
      </c>
      <c r="I111" s="59" t="s">
        <v>1009</v>
      </c>
      <c r="J111" s="59"/>
      <c r="K111" s="59"/>
    </row>
    <row r="112" spans="1:16" s="13" customFormat="1">
      <c r="A112" s="58">
        <v>55</v>
      </c>
      <c r="B112" s="13" t="s">
        <v>3315</v>
      </c>
      <c r="C112" s="13" t="s">
        <v>3316</v>
      </c>
      <c r="D112" s="13" t="s">
        <v>2735</v>
      </c>
      <c r="F112" s="13" t="s">
        <v>1010</v>
      </c>
      <c r="G112" s="13" t="s">
        <v>1514</v>
      </c>
      <c r="H112" s="13" t="s">
        <v>1514</v>
      </c>
      <c r="I112" s="59" t="s">
        <v>1009</v>
      </c>
      <c r="J112" s="59"/>
      <c r="K112" s="59"/>
    </row>
    <row r="113" spans="1:11" s="13" customFormat="1">
      <c r="A113" s="58">
        <v>56</v>
      </c>
      <c r="B113" s="13" t="s">
        <v>3317</v>
      </c>
      <c r="C113" s="13" t="s">
        <v>3318</v>
      </c>
      <c r="D113" s="13" t="s">
        <v>2735</v>
      </c>
      <c r="F113" s="13" t="s">
        <v>1010</v>
      </c>
      <c r="G113" s="13" t="s">
        <v>1524</v>
      </c>
      <c r="H113" s="13" t="s">
        <v>1527</v>
      </c>
      <c r="I113" s="59" t="s">
        <v>1009</v>
      </c>
      <c r="J113" s="59"/>
      <c r="K113" s="59"/>
    </row>
    <row r="114" spans="1:11" s="13" customFormat="1">
      <c r="A114" s="58">
        <v>57</v>
      </c>
      <c r="B114" s="13" t="s">
        <v>3319</v>
      </c>
      <c r="C114" s="13" t="s">
        <v>3320</v>
      </c>
      <c r="D114" s="13" t="s">
        <v>2735</v>
      </c>
      <c r="F114" s="13" t="s">
        <v>1010</v>
      </c>
      <c r="G114" s="13" t="s">
        <v>1514</v>
      </c>
      <c r="H114" s="13" t="s">
        <v>1469</v>
      </c>
      <c r="I114" s="59" t="s">
        <v>1009</v>
      </c>
      <c r="J114" s="59"/>
      <c r="K114" s="59"/>
    </row>
    <row r="115" spans="1:11" s="13" customFormat="1">
      <c r="A115" s="58">
        <v>58</v>
      </c>
      <c r="B115" s="13" t="s">
        <v>3321</v>
      </c>
      <c r="C115" s="13" t="s">
        <v>3322</v>
      </c>
      <c r="D115" s="13" t="s">
        <v>2735</v>
      </c>
      <c r="F115" s="13" t="s">
        <v>1010</v>
      </c>
      <c r="G115" s="13" t="s">
        <v>1524</v>
      </c>
      <c r="H115" s="13" t="s">
        <v>1514</v>
      </c>
      <c r="I115" s="59" t="s">
        <v>1009</v>
      </c>
      <c r="J115" s="59"/>
      <c r="K115" s="59"/>
    </row>
    <row r="116" spans="1:11" s="13" customFormat="1">
      <c r="A116" s="58">
        <v>59</v>
      </c>
      <c r="B116" s="13" t="s">
        <v>3323</v>
      </c>
      <c r="C116" s="13" t="s">
        <v>3324</v>
      </c>
      <c r="D116" s="13" t="s">
        <v>2735</v>
      </c>
      <c r="F116" s="13" t="s">
        <v>1010</v>
      </c>
      <c r="G116" s="13" t="s">
        <v>1524</v>
      </c>
      <c r="H116" s="13" t="s">
        <v>1514</v>
      </c>
      <c r="I116" s="59" t="s">
        <v>1009</v>
      </c>
      <c r="J116" s="59"/>
      <c r="K116" s="59"/>
    </row>
    <row r="117" spans="1:11" s="13" customFormat="1">
      <c r="A117" s="58">
        <v>60</v>
      </c>
      <c r="B117" s="13" t="s">
        <v>3325</v>
      </c>
      <c r="C117" s="13" t="s">
        <v>3326</v>
      </c>
      <c r="D117" s="13" t="s">
        <v>2735</v>
      </c>
      <c r="F117" s="13" t="s">
        <v>1010</v>
      </c>
      <c r="G117" s="13" t="s">
        <v>1524</v>
      </c>
      <c r="H117" s="13" t="s">
        <v>1514</v>
      </c>
      <c r="I117" s="59" t="s">
        <v>1009</v>
      </c>
      <c r="J117" s="59"/>
      <c r="K117" s="59"/>
    </row>
    <row r="118" spans="1:11" s="13" customFormat="1">
      <c r="A118" s="58">
        <v>61</v>
      </c>
      <c r="B118" s="13" t="s">
        <v>3323</v>
      </c>
      <c r="C118" s="13" t="s">
        <v>3327</v>
      </c>
      <c r="D118" s="13" t="s">
        <v>2735</v>
      </c>
      <c r="F118" s="13" t="s">
        <v>1010</v>
      </c>
      <c r="G118" s="13" t="s">
        <v>1524</v>
      </c>
      <c r="H118" s="13" t="s">
        <v>1514</v>
      </c>
      <c r="I118" s="59" t="s">
        <v>1009</v>
      </c>
      <c r="J118" s="59"/>
      <c r="K118" s="59"/>
    </row>
    <row r="119" spans="1:11" s="13" customFormat="1">
      <c r="A119" s="58">
        <v>62</v>
      </c>
      <c r="B119" s="13" t="s">
        <v>959</v>
      </c>
      <c r="C119" s="13" t="s">
        <v>3328</v>
      </c>
      <c r="D119" s="13" t="s">
        <v>2735</v>
      </c>
      <c r="F119" s="13" t="s">
        <v>1010</v>
      </c>
      <c r="G119" s="13" t="s">
        <v>1524</v>
      </c>
      <c r="H119" s="13" t="s">
        <v>1514</v>
      </c>
      <c r="I119" s="59" t="s">
        <v>1009</v>
      </c>
      <c r="J119" s="59"/>
      <c r="K119" s="59"/>
    </row>
    <row r="120" spans="1:11" s="13" customFormat="1">
      <c r="A120" s="58">
        <v>63</v>
      </c>
      <c r="B120" s="13" t="s">
        <v>3329</v>
      </c>
      <c r="C120" s="13" t="s">
        <v>3330</v>
      </c>
      <c r="D120" s="13" t="s">
        <v>2735</v>
      </c>
      <c r="F120" s="13" t="s">
        <v>1010</v>
      </c>
      <c r="G120" s="13" t="s">
        <v>1514</v>
      </c>
      <c r="H120" s="13" t="s">
        <v>1469</v>
      </c>
      <c r="I120" s="59" t="s">
        <v>1009</v>
      </c>
      <c r="J120" s="59"/>
      <c r="K120" s="59"/>
    </row>
    <row r="121" spans="1:11" s="13" customFormat="1">
      <c r="A121" s="58">
        <v>64</v>
      </c>
      <c r="B121" s="13" t="s">
        <v>3331</v>
      </c>
      <c r="C121" s="13" t="s">
        <v>3332</v>
      </c>
      <c r="D121" s="13" t="s">
        <v>2735</v>
      </c>
      <c r="F121" s="13" t="s">
        <v>1010</v>
      </c>
      <c r="G121" s="13" t="s">
        <v>1524</v>
      </c>
      <c r="H121" s="13" t="s">
        <v>1469</v>
      </c>
      <c r="I121" s="59" t="s">
        <v>1009</v>
      </c>
      <c r="J121" s="59"/>
      <c r="K121" s="59"/>
    </row>
    <row r="122" spans="1:11" s="13" customFormat="1">
      <c r="A122" s="58">
        <v>65</v>
      </c>
      <c r="B122" s="13" t="s">
        <v>3333</v>
      </c>
      <c r="C122" s="13" t="s">
        <v>3334</v>
      </c>
      <c r="D122" s="13" t="s">
        <v>2735</v>
      </c>
      <c r="F122" s="13" t="s">
        <v>1010</v>
      </c>
      <c r="G122" s="13" t="s">
        <v>1514</v>
      </c>
      <c r="H122" s="13" t="s">
        <v>1469</v>
      </c>
      <c r="I122" s="59" t="s">
        <v>1009</v>
      </c>
      <c r="J122" s="59"/>
      <c r="K122" s="59"/>
    </row>
    <row r="123" spans="1:11" s="13" customFormat="1">
      <c r="A123" s="58">
        <v>66</v>
      </c>
      <c r="B123" s="13" t="s">
        <v>692</v>
      </c>
      <c r="C123" s="13" t="s">
        <v>3335</v>
      </c>
      <c r="D123" s="13" t="s">
        <v>2735</v>
      </c>
      <c r="F123" s="13" t="s">
        <v>1010</v>
      </c>
      <c r="G123" s="13" t="s">
        <v>1514</v>
      </c>
      <c r="H123" s="13" t="s">
        <v>1469</v>
      </c>
      <c r="I123" s="59" t="s">
        <v>1009</v>
      </c>
      <c r="J123" s="59"/>
      <c r="K123" s="59"/>
    </row>
    <row r="124" spans="1:11" s="13" customFormat="1">
      <c r="A124" s="58">
        <v>67</v>
      </c>
      <c r="B124" s="13" t="s">
        <v>3336</v>
      </c>
      <c r="C124" s="13" t="s">
        <v>3337</v>
      </c>
      <c r="D124" s="13" t="s">
        <v>2735</v>
      </c>
      <c r="F124" s="13" t="s">
        <v>1010</v>
      </c>
      <c r="G124" s="13" t="s">
        <v>1524</v>
      </c>
      <c r="H124" s="13" t="s">
        <v>1514</v>
      </c>
      <c r="I124" s="59" t="s">
        <v>1009</v>
      </c>
      <c r="J124" s="59"/>
      <c r="K124" s="59"/>
    </row>
    <row r="125" spans="1:11" s="13" customFormat="1">
      <c r="A125" s="58">
        <v>68</v>
      </c>
      <c r="B125" s="13" t="s">
        <v>3338</v>
      </c>
      <c r="C125" s="13" t="s">
        <v>3339</v>
      </c>
      <c r="D125" s="13" t="s">
        <v>2735</v>
      </c>
      <c r="F125" s="13" t="s">
        <v>1010</v>
      </c>
      <c r="G125" s="13" t="s">
        <v>1514</v>
      </c>
      <c r="H125" s="13" t="s">
        <v>1514</v>
      </c>
      <c r="I125" s="59" t="s">
        <v>1009</v>
      </c>
      <c r="J125" s="59"/>
      <c r="K125" s="59"/>
    </row>
    <row r="126" spans="1:11" s="13" customFormat="1">
      <c r="A126" s="58">
        <v>69</v>
      </c>
      <c r="B126" s="13" t="s">
        <v>198</v>
      </c>
      <c r="C126" s="13" t="s">
        <v>3340</v>
      </c>
      <c r="D126" s="13" t="s">
        <v>2735</v>
      </c>
      <c r="F126" s="13" t="s">
        <v>1010</v>
      </c>
      <c r="G126" s="13" t="s">
        <v>1524</v>
      </c>
      <c r="H126" s="13" t="s">
        <v>1469</v>
      </c>
      <c r="I126" s="59" t="s">
        <v>1009</v>
      </c>
      <c r="J126" s="59"/>
      <c r="K126" s="59"/>
    </row>
    <row r="127" spans="1:11" s="13" customFormat="1">
      <c r="A127" s="58">
        <v>70</v>
      </c>
      <c r="B127" s="13" t="s">
        <v>3341</v>
      </c>
      <c r="C127" s="13" t="s">
        <v>3342</v>
      </c>
      <c r="D127" s="13" t="s">
        <v>2735</v>
      </c>
      <c r="F127" s="13" t="s">
        <v>1010</v>
      </c>
      <c r="G127" s="13" t="s">
        <v>1514</v>
      </c>
      <c r="H127" s="13" t="s">
        <v>1527</v>
      </c>
      <c r="I127" s="59" t="s">
        <v>1009</v>
      </c>
      <c r="J127" s="59"/>
      <c r="K127" s="59"/>
    </row>
    <row r="128" spans="1:11" s="13" customFormat="1">
      <c r="A128" s="58">
        <v>71</v>
      </c>
      <c r="B128" s="13" t="s">
        <v>3343</v>
      </c>
      <c r="C128" s="13" t="s">
        <v>3344</v>
      </c>
      <c r="D128" s="13" t="s">
        <v>2735</v>
      </c>
      <c r="F128" s="13" t="s">
        <v>1010</v>
      </c>
      <c r="G128" s="13" t="s">
        <v>1524</v>
      </c>
      <c r="H128" s="13" t="s">
        <v>1514</v>
      </c>
      <c r="I128" s="59" t="s">
        <v>1009</v>
      </c>
      <c r="J128" s="59"/>
      <c r="K128" s="59"/>
    </row>
    <row r="129" spans="1:11" s="13" customFormat="1">
      <c r="A129" s="58">
        <v>72</v>
      </c>
      <c r="B129" s="13" t="s">
        <v>2450</v>
      </c>
      <c r="C129" s="13" t="s">
        <v>3345</v>
      </c>
      <c r="D129" s="13" t="s">
        <v>2735</v>
      </c>
      <c r="F129" s="13" t="s">
        <v>1010</v>
      </c>
      <c r="G129" s="13" t="s">
        <v>1524</v>
      </c>
      <c r="H129" s="13" t="s">
        <v>1469</v>
      </c>
      <c r="I129" s="59" t="s">
        <v>1009</v>
      </c>
      <c r="J129" s="59"/>
      <c r="K129" s="59"/>
    </row>
    <row r="130" spans="1:11" s="13" customFormat="1">
      <c r="A130" s="58">
        <v>73</v>
      </c>
      <c r="B130" s="13" t="s">
        <v>2416</v>
      </c>
      <c r="C130" s="13" t="s">
        <v>3346</v>
      </c>
      <c r="D130" s="13" t="s">
        <v>2735</v>
      </c>
      <c r="F130" s="13" t="s">
        <v>1010</v>
      </c>
      <c r="G130" s="13" t="s">
        <v>1524</v>
      </c>
      <c r="H130" s="13" t="s">
        <v>1527</v>
      </c>
      <c r="I130" s="59" t="s">
        <v>1009</v>
      </c>
      <c r="J130" s="59"/>
      <c r="K130" s="59"/>
    </row>
    <row r="131" spans="1:11" s="13" customFormat="1">
      <c r="A131" s="58">
        <v>74</v>
      </c>
      <c r="B131" s="13" t="s">
        <v>3347</v>
      </c>
      <c r="C131" s="13" t="s">
        <v>3348</v>
      </c>
      <c r="D131" s="13" t="s">
        <v>2735</v>
      </c>
      <c r="F131" s="13" t="s">
        <v>1010</v>
      </c>
      <c r="G131" s="13" t="s">
        <v>1524</v>
      </c>
      <c r="H131" s="13" t="s">
        <v>1514</v>
      </c>
      <c r="I131" s="59" t="s">
        <v>1009</v>
      </c>
      <c r="J131" s="59"/>
      <c r="K131" s="59"/>
    </row>
    <row r="132" spans="1:11" s="13" customFormat="1">
      <c r="A132" s="58">
        <v>75</v>
      </c>
      <c r="B132" s="13" t="s">
        <v>2586</v>
      </c>
      <c r="C132" s="13" t="s">
        <v>3349</v>
      </c>
      <c r="D132" s="13" t="s">
        <v>2735</v>
      </c>
      <c r="F132" s="13" t="s">
        <v>1010</v>
      </c>
      <c r="G132" s="13" t="s">
        <v>1514</v>
      </c>
      <c r="H132" s="13" t="s">
        <v>3350</v>
      </c>
      <c r="I132" s="59" t="s">
        <v>1009</v>
      </c>
      <c r="J132" s="59"/>
      <c r="K132" s="59"/>
    </row>
    <row r="133" spans="1:11" s="13" customFormat="1">
      <c r="A133" s="58">
        <v>76</v>
      </c>
      <c r="B133" s="13" t="s">
        <v>3351</v>
      </c>
      <c r="C133" s="13" t="s">
        <v>3352</v>
      </c>
      <c r="D133" s="13" t="s">
        <v>2735</v>
      </c>
      <c r="F133" s="13" t="s">
        <v>1010</v>
      </c>
      <c r="G133" s="13" t="s">
        <v>1514</v>
      </c>
      <c r="H133" s="13" t="s">
        <v>1527</v>
      </c>
      <c r="I133" s="59" t="s">
        <v>1009</v>
      </c>
      <c r="J133" s="59"/>
      <c r="K133" s="59"/>
    </row>
    <row r="134" spans="1:11" s="13" customFormat="1">
      <c r="A134" s="58">
        <v>77</v>
      </c>
      <c r="B134" s="34" t="s">
        <v>3353</v>
      </c>
      <c r="C134" s="34" t="s">
        <v>3354</v>
      </c>
      <c r="D134" s="34" t="s">
        <v>2735</v>
      </c>
      <c r="E134" s="34"/>
      <c r="F134" s="34" t="s">
        <v>1010</v>
      </c>
      <c r="G134" s="34" t="s">
        <v>1514</v>
      </c>
      <c r="H134" s="34" t="s">
        <v>3355</v>
      </c>
      <c r="I134" s="66" t="s">
        <v>1009</v>
      </c>
      <c r="J134" s="59"/>
      <c r="K134" s="59"/>
    </row>
    <row r="135" spans="1:11" s="13" customFormat="1">
      <c r="A135" s="58">
        <v>78</v>
      </c>
      <c r="B135" s="13" t="s">
        <v>3356</v>
      </c>
      <c r="C135" s="13" t="s">
        <v>3357</v>
      </c>
      <c r="D135" s="13" t="s">
        <v>2735</v>
      </c>
      <c r="F135" s="13" t="s">
        <v>1010</v>
      </c>
      <c r="G135" s="13" t="s">
        <v>1514</v>
      </c>
      <c r="H135" s="13" t="s">
        <v>1514</v>
      </c>
      <c r="I135" s="59" t="s">
        <v>1009</v>
      </c>
      <c r="J135" s="59"/>
      <c r="K135" s="59"/>
    </row>
    <row r="136" spans="1:11" s="13" customFormat="1">
      <c r="A136" s="58">
        <v>79</v>
      </c>
      <c r="B136" s="13" t="s">
        <v>3358</v>
      </c>
      <c r="C136" s="13" t="s">
        <v>3359</v>
      </c>
      <c r="D136" s="13" t="s">
        <v>2735</v>
      </c>
      <c r="F136" s="13" t="s">
        <v>1010</v>
      </c>
      <c r="G136" s="13" t="s">
        <v>1524</v>
      </c>
      <c r="H136" s="13" t="s">
        <v>1527</v>
      </c>
      <c r="I136" s="59" t="s">
        <v>1009</v>
      </c>
      <c r="J136" s="59"/>
      <c r="K136" s="59"/>
    </row>
    <row r="137" spans="1:11" s="13" customFormat="1">
      <c r="A137" s="58">
        <v>80</v>
      </c>
      <c r="B137" s="13" t="s">
        <v>3360</v>
      </c>
      <c r="C137" s="13" t="s">
        <v>3361</v>
      </c>
      <c r="D137" s="13" t="s">
        <v>2735</v>
      </c>
      <c r="F137" s="13" t="s">
        <v>1010</v>
      </c>
      <c r="G137" s="13" t="s">
        <v>1514</v>
      </c>
      <c r="H137" s="13" t="s">
        <v>1469</v>
      </c>
      <c r="I137" s="59" t="s">
        <v>1009</v>
      </c>
      <c r="J137" s="59"/>
      <c r="K137" s="59"/>
    </row>
    <row r="138" spans="1:11" s="13" customFormat="1">
      <c r="A138" s="58">
        <v>81</v>
      </c>
      <c r="B138" s="13" t="s">
        <v>3362</v>
      </c>
      <c r="C138" s="13" t="s">
        <v>3363</v>
      </c>
      <c r="D138" s="13" t="s">
        <v>2735</v>
      </c>
      <c r="F138" s="13" t="s">
        <v>1010</v>
      </c>
      <c r="G138" s="13" t="s">
        <v>1514</v>
      </c>
      <c r="H138" s="13" t="s">
        <v>1527</v>
      </c>
      <c r="I138" s="59" t="s">
        <v>1009</v>
      </c>
      <c r="J138" s="59"/>
      <c r="K138" s="59"/>
    </row>
    <row r="139" spans="1:11" s="13" customFormat="1">
      <c r="A139" s="58">
        <v>82</v>
      </c>
      <c r="B139" s="13" t="s">
        <v>3364</v>
      </c>
      <c r="C139" s="13" t="s">
        <v>3365</v>
      </c>
      <c r="D139" s="13" t="s">
        <v>2735</v>
      </c>
      <c r="F139" s="13" t="s">
        <v>1010</v>
      </c>
      <c r="G139" s="13" t="s">
        <v>1514</v>
      </c>
      <c r="H139" s="13" t="s">
        <v>1469</v>
      </c>
      <c r="I139" s="59" t="s">
        <v>1009</v>
      </c>
      <c r="J139" s="59"/>
      <c r="K139" s="59"/>
    </row>
    <row r="140" spans="1:11" s="13" customFormat="1">
      <c r="A140" s="58">
        <v>83</v>
      </c>
      <c r="B140" s="13" t="s">
        <v>3366</v>
      </c>
      <c r="C140" s="13" t="s">
        <v>3367</v>
      </c>
      <c r="D140" s="13" t="s">
        <v>2735</v>
      </c>
      <c r="F140" s="13" t="s">
        <v>1010</v>
      </c>
      <c r="G140" s="13" t="s">
        <v>1524</v>
      </c>
      <c r="H140" s="13" t="s">
        <v>1514</v>
      </c>
      <c r="I140" s="59" t="s">
        <v>1009</v>
      </c>
      <c r="J140" s="59"/>
      <c r="K140" s="59"/>
    </row>
    <row r="141" spans="1:11" s="13" customFormat="1">
      <c r="A141" s="58">
        <v>84</v>
      </c>
      <c r="B141" s="13" t="s">
        <v>3368</v>
      </c>
      <c r="C141" s="13" t="s">
        <v>3369</v>
      </c>
      <c r="D141" s="13" t="s">
        <v>2735</v>
      </c>
      <c r="F141" s="13" t="s">
        <v>1010</v>
      </c>
      <c r="G141" s="13" t="s">
        <v>1514</v>
      </c>
      <c r="H141" s="13" t="s">
        <v>1527</v>
      </c>
      <c r="I141" s="59" t="s">
        <v>1009</v>
      </c>
      <c r="J141" s="59"/>
      <c r="K141" s="59"/>
    </row>
    <row r="142" spans="1:11" s="13" customFormat="1">
      <c r="A142" s="58">
        <v>85</v>
      </c>
      <c r="B142" s="13" t="s">
        <v>3370</v>
      </c>
      <c r="C142" s="13" t="s">
        <v>3371</v>
      </c>
      <c r="D142" s="13" t="s">
        <v>2735</v>
      </c>
      <c r="F142" s="13" t="s">
        <v>1010</v>
      </c>
      <c r="G142" s="13" t="s">
        <v>1514</v>
      </c>
      <c r="H142" s="13" t="s">
        <v>1469</v>
      </c>
      <c r="I142" s="59" t="s">
        <v>1009</v>
      </c>
      <c r="J142" s="59"/>
      <c r="K142" s="59"/>
    </row>
    <row r="143" spans="1:11" s="13" customFormat="1">
      <c r="A143" s="58">
        <v>86</v>
      </c>
      <c r="B143" s="13" t="s">
        <v>3372</v>
      </c>
      <c r="C143" s="13" t="s">
        <v>3373</v>
      </c>
      <c r="D143" s="13" t="s">
        <v>2735</v>
      </c>
      <c r="F143" s="13" t="s">
        <v>1010</v>
      </c>
      <c r="G143" s="13" t="s">
        <v>1514</v>
      </c>
      <c r="H143" s="13" t="s">
        <v>1469</v>
      </c>
      <c r="I143" s="59" t="s">
        <v>1009</v>
      </c>
      <c r="J143" s="59"/>
      <c r="K143" s="59"/>
    </row>
    <row r="144" spans="1:11" s="13" customFormat="1">
      <c r="A144" s="58">
        <v>87</v>
      </c>
      <c r="B144" s="13" t="s">
        <v>3374</v>
      </c>
      <c r="C144" s="13" t="s">
        <v>3375</v>
      </c>
      <c r="D144" s="13" t="s">
        <v>2735</v>
      </c>
      <c r="F144" s="13" t="s">
        <v>1010</v>
      </c>
      <c r="G144" s="13" t="s">
        <v>1524</v>
      </c>
      <c r="H144" s="13" t="s">
        <v>1527</v>
      </c>
      <c r="I144" s="59" t="s">
        <v>1009</v>
      </c>
      <c r="J144" s="59"/>
      <c r="K144" s="59"/>
    </row>
    <row r="145" spans="1:11" s="13" customFormat="1">
      <c r="A145" s="58">
        <v>88</v>
      </c>
      <c r="B145" s="13" t="s">
        <v>3376</v>
      </c>
      <c r="C145" s="13" t="s">
        <v>3377</v>
      </c>
      <c r="D145" s="13" t="s">
        <v>2735</v>
      </c>
      <c r="F145" s="13" t="s">
        <v>1010</v>
      </c>
      <c r="G145" s="13" t="s">
        <v>1514</v>
      </c>
      <c r="H145" s="13" t="s">
        <v>1514</v>
      </c>
      <c r="I145" s="59" t="s">
        <v>1009</v>
      </c>
      <c r="J145" s="59"/>
      <c r="K145" s="59"/>
    </row>
    <row r="146" spans="1:11" s="13" customFormat="1">
      <c r="A146" s="58">
        <v>89</v>
      </c>
      <c r="B146" s="13" t="s">
        <v>3378</v>
      </c>
      <c r="C146" s="13" t="s">
        <v>3379</v>
      </c>
      <c r="D146" s="13" t="s">
        <v>2735</v>
      </c>
      <c r="F146" s="13" t="s">
        <v>1010</v>
      </c>
      <c r="G146" s="13" t="s">
        <v>1524</v>
      </c>
      <c r="H146" s="13" t="s">
        <v>1527</v>
      </c>
      <c r="I146" s="59" t="s">
        <v>1009</v>
      </c>
      <c r="J146" s="59"/>
      <c r="K146" s="59"/>
    </row>
    <row r="147" spans="1:11" s="13" customFormat="1">
      <c r="A147" s="58">
        <v>90</v>
      </c>
      <c r="B147" s="13" t="s">
        <v>3380</v>
      </c>
      <c r="C147" s="13" t="s">
        <v>3381</v>
      </c>
      <c r="D147" s="13" t="s">
        <v>2735</v>
      </c>
      <c r="F147" s="13" t="s">
        <v>1010</v>
      </c>
      <c r="G147" s="13" t="s">
        <v>1514</v>
      </c>
      <c r="H147" s="13" t="s">
        <v>1527</v>
      </c>
      <c r="I147" s="59" t="s">
        <v>1009</v>
      </c>
      <c r="J147" s="59"/>
      <c r="K147" s="59"/>
    </row>
    <row r="148" spans="1:11" s="13" customFormat="1">
      <c r="A148" s="58">
        <v>91</v>
      </c>
      <c r="B148" s="13" t="s">
        <v>3382</v>
      </c>
      <c r="C148" s="13" t="s">
        <v>3383</v>
      </c>
      <c r="D148" s="13" t="s">
        <v>2735</v>
      </c>
      <c r="F148" s="13" t="s">
        <v>1010</v>
      </c>
      <c r="G148" s="13" t="s">
        <v>1514</v>
      </c>
      <c r="H148" s="13" t="s">
        <v>3384</v>
      </c>
      <c r="I148" s="59" t="s">
        <v>1009</v>
      </c>
      <c r="J148" s="59"/>
      <c r="K148" s="59"/>
    </row>
    <row r="149" spans="1:11" s="13" customFormat="1">
      <c r="A149" s="58">
        <v>92</v>
      </c>
      <c r="B149" s="13" t="s">
        <v>3385</v>
      </c>
      <c r="C149" s="13" t="s">
        <v>3386</v>
      </c>
      <c r="D149" s="13" t="s">
        <v>2735</v>
      </c>
      <c r="F149" s="13" t="s">
        <v>1010</v>
      </c>
      <c r="G149" s="13" t="s">
        <v>1524</v>
      </c>
      <c r="H149" s="13" t="s">
        <v>1469</v>
      </c>
      <c r="I149" s="59" t="s">
        <v>1009</v>
      </c>
      <c r="J149" s="59"/>
      <c r="K149" s="59"/>
    </row>
    <row r="150" spans="1:11" s="13" customFormat="1">
      <c r="A150" s="58">
        <v>93</v>
      </c>
      <c r="B150" s="13" t="s">
        <v>3387</v>
      </c>
      <c r="C150" s="13" t="s">
        <v>3388</v>
      </c>
      <c r="D150" s="13" t="s">
        <v>2735</v>
      </c>
      <c r="F150" s="13" t="s">
        <v>1010</v>
      </c>
      <c r="G150" s="13" t="s">
        <v>1524</v>
      </c>
      <c r="H150" s="13" t="s">
        <v>1469</v>
      </c>
      <c r="I150" s="59" t="s">
        <v>1009</v>
      </c>
      <c r="J150" s="59"/>
      <c r="K150" s="59"/>
    </row>
    <row r="151" spans="1:11" s="13" customFormat="1">
      <c r="A151" s="58">
        <v>95</v>
      </c>
      <c r="B151" s="13" t="s">
        <v>3389</v>
      </c>
      <c r="C151" s="13" t="s">
        <v>3390</v>
      </c>
      <c r="D151" s="13" t="s">
        <v>2735</v>
      </c>
      <c r="F151" s="13" t="s">
        <v>1010</v>
      </c>
      <c r="G151" s="13" t="s">
        <v>1514</v>
      </c>
      <c r="H151" s="13" t="s">
        <v>1469</v>
      </c>
      <c r="I151" s="59" t="s">
        <v>1009</v>
      </c>
      <c r="J151" s="59"/>
      <c r="K151" s="59"/>
    </row>
    <row r="152" spans="1:11" s="13" customFormat="1">
      <c r="A152" s="58">
        <v>96</v>
      </c>
      <c r="B152" s="13" t="s">
        <v>226</v>
      </c>
      <c r="C152" s="13" t="s">
        <v>3391</v>
      </c>
      <c r="D152" s="13" t="s">
        <v>2735</v>
      </c>
      <c r="F152" s="13" t="s">
        <v>1010</v>
      </c>
      <c r="G152" s="13" t="s">
        <v>1524</v>
      </c>
      <c r="H152" s="13" t="s">
        <v>1527</v>
      </c>
      <c r="I152" s="59" t="s">
        <v>1009</v>
      </c>
      <c r="J152" s="59"/>
      <c r="K152" s="59"/>
    </row>
    <row r="153" spans="1:11" s="13" customFormat="1">
      <c r="A153" s="58">
        <v>98</v>
      </c>
      <c r="B153" s="13" t="s">
        <v>882</v>
      </c>
      <c r="C153" s="13" t="s">
        <v>3392</v>
      </c>
      <c r="D153" s="13" t="s">
        <v>2735</v>
      </c>
      <c r="F153" s="13" t="s">
        <v>1010</v>
      </c>
      <c r="G153" s="13" t="s">
        <v>1514</v>
      </c>
      <c r="H153" s="13" t="s">
        <v>1527</v>
      </c>
      <c r="I153" s="59" t="s">
        <v>1009</v>
      </c>
      <c r="J153" s="59"/>
      <c r="K153" s="59"/>
    </row>
    <row r="154" spans="1:11" s="13" customFormat="1">
      <c r="A154" s="58">
        <v>99</v>
      </c>
      <c r="B154" s="13" t="s">
        <v>3393</v>
      </c>
      <c r="C154" s="13" t="s">
        <v>3394</v>
      </c>
      <c r="D154" s="13" t="s">
        <v>2735</v>
      </c>
      <c r="F154" s="13" t="s">
        <v>1010</v>
      </c>
      <c r="G154" s="13" t="s">
        <v>1514</v>
      </c>
      <c r="H154" s="13" t="s">
        <v>1527</v>
      </c>
      <c r="I154" s="59" t="s">
        <v>1009</v>
      </c>
      <c r="J154" s="59"/>
      <c r="K154" s="59"/>
    </row>
    <row r="155" spans="1:11" s="13" customFormat="1">
      <c r="A155" s="58">
        <v>100</v>
      </c>
      <c r="B155" s="13" t="s">
        <v>3395</v>
      </c>
      <c r="C155" s="13" t="s">
        <v>3396</v>
      </c>
      <c r="D155" s="13" t="s">
        <v>2735</v>
      </c>
      <c r="F155" s="13" t="s">
        <v>1010</v>
      </c>
      <c r="G155" s="13" t="s">
        <v>1524</v>
      </c>
      <c r="H155" s="13" t="s">
        <v>1469</v>
      </c>
      <c r="I155" s="59" t="s">
        <v>1009</v>
      </c>
      <c r="J155" s="59"/>
      <c r="K155" s="59"/>
    </row>
    <row r="156" spans="1:11" s="13" customFormat="1">
      <c r="A156" s="58">
        <v>101</v>
      </c>
      <c r="B156" s="13" t="s">
        <v>3397</v>
      </c>
      <c r="C156" s="13" t="s">
        <v>3398</v>
      </c>
      <c r="D156" s="13" t="s">
        <v>2735</v>
      </c>
      <c r="F156" s="13" t="s">
        <v>1010</v>
      </c>
      <c r="G156" s="13" t="s">
        <v>1524</v>
      </c>
      <c r="H156" s="13" t="s">
        <v>1469</v>
      </c>
      <c r="I156" s="59" t="s">
        <v>1009</v>
      </c>
      <c r="J156" s="59"/>
      <c r="K156" s="59"/>
    </row>
    <row r="157" spans="1:11" s="13" customFormat="1">
      <c r="A157" s="58">
        <v>102</v>
      </c>
      <c r="B157" s="13" t="s">
        <v>3399</v>
      </c>
      <c r="C157" s="13" t="s">
        <v>3400</v>
      </c>
      <c r="D157" s="13" t="s">
        <v>2735</v>
      </c>
      <c r="F157" s="13" t="s">
        <v>1010</v>
      </c>
      <c r="G157" s="13" t="s">
        <v>1514</v>
      </c>
      <c r="H157" s="13" t="s">
        <v>1469</v>
      </c>
      <c r="I157" s="59" t="s">
        <v>1009</v>
      </c>
      <c r="J157" s="59"/>
      <c r="K157" s="59"/>
    </row>
    <row r="158" spans="1:11" s="13" customFormat="1">
      <c r="A158" s="58">
        <v>103</v>
      </c>
      <c r="B158" s="13" t="s">
        <v>3401</v>
      </c>
      <c r="C158" s="13" t="s">
        <v>3402</v>
      </c>
      <c r="D158" s="13" t="s">
        <v>2735</v>
      </c>
      <c r="F158" s="13" t="s">
        <v>1010</v>
      </c>
      <c r="G158" s="13" t="s">
        <v>1524</v>
      </c>
      <c r="H158" s="13" t="s">
        <v>1469</v>
      </c>
      <c r="I158" s="59" t="s">
        <v>1009</v>
      </c>
      <c r="J158" s="59"/>
      <c r="K158" s="59"/>
    </row>
    <row r="159" spans="1:11" s="13" customFormat="1">
      <c r="A159" s="58">
        <v>104</v>
      </c>
      <c r="B159" s="13" t="s">
        <v>3403</v>
      </c>
      <c r="C159" s="13" t="s">
        <v>3404</v>
      </c>
      <c r="D159" s="13" t="s">
        <v>2735</v>
      </c>
      <c r="F159" s="13" t="s">
        <v>1010</v>
      </c>
      <c r="G159" s="13" t="s">
        <v>1514</v>
      </c>
      <c r="H159" s="13" t="s">
        <v>1469</v>
      </c>
      <c r="I159" s="59" t="s">
        <v>1009</v>
      </c>
      <c r="J159" s="59"/>
      <c r="K159" s="59"/>
    </row>
    <row r="160" spans="1:11" s="13" customFormat="1">
      <c r="A160" s="58">
        <v>106</v>
      </c>
      <c r="B160" s="13" t="s">
        <v>3405</v>
      </c>
      <c r="C160" s="13" t="s">
        <v>3406</v>
      </c>
      <c r="D160" s="13" t="s">
        <v>2735</v>
      </c>
      <c r="F160" s="13" t="s">
        <v>1010</v>
      </c>
      <c r="G160" s="13" t="s">
        <v>1514</v>
      </c>
      <c r="H160" s="13" t="s">
        <v>1527</v>
      </c>
      <c r="I160" s="59" t="s">
        <v>1009</v>
      </c>
      <c r="J160" s="59"/>
      <c r="K160" s="59"/>
    </row>
    <row r="161" spans="1:11" s="13" customFormat="1">
      <c r="A161" s="58">
        <v>107</v>
      </c>
      <c r="B161" s="13" t="s">
        <v>3407</v>
      </c>
      <c r="C161" s="13" t="s">
        <v>3408</v>
      </c>
      <c r="D161" s="13" t="s">
        <v>2735</v>
      </c>
      <c r="F161" s="13" t="s">
        <v>1010</v>
      </c>
      <c r="G161" s="13" t="s">
        <v>1524</v>
      </c>
      <c r="H161" s="13" t="s">
        <v>1469</v>
      </c>
      <c r="I161" s="59" t="s">
        <v>1009</v>
      </c>
      <c r="J161" s="59"/>
      <c r="K161" s="59"/>
    </row>
    <row r="162" spans="1:11" s="13" customFormat="1">
      <c r="A162" s="58">
        <v>108</v>
      </c>
      <c r="B162" s="13" t="s">
        <v>3409</v>
      </c>
      <c r="C162" s="13" t="s">
        <v>3410</v>
      </c>
      <c r="D162" s="13" t="s">
        <v>2735</v>
      </c>
      <c r="F162" s="13" t="s">
        <v>1010</v>
      </c>
      <c r="G162" s="13" t="s">
        <v>1524</v>
      </c>
      <c r="H162" s="13" t="s">
        <v>3384</v>
      </c>
      <c r="I162" s="59" t="s">
        <v>1009</v>
      </c>
      <c r="J162" s="59"/>
      <c r="K162" s="59"/>
    </row>
    <row r="163" spans="1:11" s="13" customFormat="1">
      <c r="A163" s="58">
        <v>109</v>
      </c>
      <c r="B163" s="13" t="s">
        <v>3411</v>
      </c>
      <c r="C163" s="13" t="s">
        <v>3412</v>
      </c>
      <c r="D163" s="13" t="s">
        <v>2735</v>
      </c>
      <c r="F163" s="13" t="s">
        <v>1010</v>
      </c>
      <c r="G163" s="13" t="s">
        <v>1514</v>
      </c>
      <c r="H163" s="13" t="s">
        <v>1527</v>
      </c>
      <c r="I163" s="59" t="s">
        <v>1009</v>
      </c>
      <c r="J163" s="59"/>
      <c r="K163" s="59"/>
    </row>
    <row r="164" spans="1:11" s="13" customFormat="1">
      <c r="A164" s="58">
        <v>110</v>
      </c>
      <c r="B164" s="13" t="s">
        <v>3413</v>
      </c>
      <c r="C164" s="13" t="s">
        <v>3414</v>
      </c>
      <c r="D164" s="13" t="s">
        <v>2735</v>
      </c>
      <c r="F164" s="13" t="s">
        <v>1010</v>
      </c>
      <c r="G164" s="13" t="s">
        <v>1524</v>
      </c>
      <c r="H164" s="13" t="s">
        <v>1469</v>
      </c>
      <c r="I164" s="59" t="s">
        <v>1009</v>
      </c>
      <c r="J164" s="59"/>
      <c r="K164" s="59"/>
    </row>
    <row r="165" spans="1:11" s="13" customFormat="1">
      <c r="A165" s="58">
        <v>111</v>
      </c>
      <c r="B165" s="13" t="s">
        <v>3415</v>
      </c>
      <c r="C165" s="13" t="s">
        <v>3416</v>
      </c>
      <c r="D165" s="13" t="s">
        <v>2735</v>
      </c>
      <c r="F165" s="13" t="s">
        <v>1010</v>
      </c>
      <c r="G165" s="13" t="s">
        <v>1514</v>
      </c>
      <c r="H165" s="13" t="s">
        <v>1469</v>
      </c>
      <c r="I165" s="59" t="s">
        <v>1009</v>
      </c>
      <c r="J165" s="59"/>
      <c r="K165" s="59"/>
    </row>
    <row r="166" spans="1:11" s="13" customFormat="1">
      <c r="A166" s="58">
        <v>112</v>
      </c>
      <c r="B166" s="13" t="s">
        <v>3417</v>
      </c>
      <c r="C166" s="13" t="s">
        <v>3418</v>
      </c>
      <c r="D166" s="13" t="s">
        <v>2735</v>
      </c>
      <c r="F166" s="13" t="s">
        <v>1010</v>
      </c>
      <c r="G166" s="13" t="s">
        <v>1514</v>
      </c>
      <c r="H166" s="13" t="s">
        <v>1469</v>
      </c>
      <c r="I166" s="59" t="s">
        <v>1009</v>
      </c>
      <c r="J166" s="59"/>
      <c r="K166" s="59"/>
    </row>
    <row r="167" spans="1:11" s="13" customFormat="1">
      <c r="A167" s="58">
        <v>113</v>
      </c>
      <c r="B167" s="13" t="s">
        <v>3419</v>
      </c>
      <c r="C167" s="13" t="s">
        <v>3420</v>
      </c>
      <c r="D167" s="13" t="s">
        <v>2735</v>
      </c>
      <c r="F167" s="13" t="s">
        <v>1010</v>
      </c>
      <c r="G167" s="13" t="s">
        <v>1514</v>
      </c>
      <c r="H167" s="13" t="s">
        <v>1469</v>
      </c>
      <c r="I167" s="59" t="s">
        <v>1009</v>
      </c>
      <c r="J167" s="59"/>
      <c r="K167" s="59"/>
    </row>
    <row r="168" spans="1:11" s="13" customFormat="1">
      <c r="A168" s="58">
        <v>115</v>
      </c>
      <c r="B168" s="13" t="s">
        <v>3421</v>
      </c>
      <c r="C168" s="13" t="s">
        <v>3422</v>
      </c>
      <c r="D168" s="13" t="s">
        <v>2735</v>
      </c>
      <c r="F168" s="13" t="s">
        <v>1010</v>
      </c>
      <c r="G168" s="13" t="s">
        <v>1514</v>
      </c>
      <c r="H168" s="13" t="s">
        <v>1469</v>
      </c>
      <c r="I168" s="59" t="s">
        <v>1009</v>
      </c>
      <c r="J168" s="59"/>
      <c r="K168" s="59"/>
    </row>
    <row r="169" spans="1:11" s="13" customFormat="1">
      <c r="A169" s="58">
        <v>116</v>
      </c>
      <c r="B169" s="13" t="s">
        <v>2522</v>
      </c>
      <c r="C169" s="13" t="s">
        <v>3423</v>
      </c>
      <c r="D169" s="13" t="s">
        <v>2735</v>
      </c>
      <c r="F169" s="13" t="s">
        <v>1010</v>
      </c>
      <c r="G169" s="13" t="s">
        <v>1524</v>
      </c>
      <c r="H169" s="13" t="s">
        <v>1514</v>
      </c>
      <c r="I169" s="59" t="s">
        <v>1009</v>
      </c>
      <c r="J169" s="59"/>
      <c r="K169" s="59"/>
    </row>
    <row r="170" spans="1:11" s="13" customFormat="1">
      <c r="A170" s="58">
        <v>119</v>
      </c>
      <c r="B170" s="13" t="s">
        <v>3424</v>
      </c>
      <c r="C170" s="13" t="s">
        <v>3425</v>
      </c>
      <c r="D170" s="13" t="s">
        <v>2735</v>
      </c>
      <c r="F170" s="13" t="s">
        <v>1010</v>
      </c>
      <c r="G170" s="13" t="s">
        <v>1524</v>
      </c>
      <c r="H170" s="13" t="s">
        <v>1469</v>
      </c>
      <c r="I170" s="59" t="s">
        <v>1009</v>
      </c>
      <c r="J170" s="59"/>
      <c r="K170" s="59"/>
    </row>
    <row r="171" spans="1:11" s="13" customFormat="1">
      <c r="A171" s="58">
        <v>120</v>
      </c>
      <c r="B171" s="13" t="s">
        <v>3426</v>
      </c>
      <c r="C171" s="13" t="s">
        <v>3427</v>
      </c>
      <c r="D171" s="13" t="s">
        <v>2735</v>
      </c>
      <c r="F171" s="13" t="s">
        <v>1010</v>
      </c>
      <c r="G171" s="13" t="s">
        <v>1514</v>
      </c>
      <c r="H171" s="13" t="s">
        <v>1469</v>
      </c>
      <c r="I171" s="59" t="s">
        <v>1009</v>
      </c>
      <c r="J171" s="59"/>
      <c r="K171" s="59"/>
    </row>
    <row r="172" spans="1:11" s="13" customFormat="1">
      <c r="A172" s="58">
        <v>123</v>
      </c>
      <c r="B172" s="13" t="s">
        <v>3428</v>
      </c>
      <c r="C172" s="13" t="s">
        <v>3429</v>
      </c>
      <c r="D172" s="13" t="s">
        <v>2735</v>
      </c>
      <c r="F172" s="13" t="s">
        <v>1010</v>
      </c>
      <c r="G172" s="13" t="s">
        <v>1514</v>
      </c>
      <c r="H172" s="13" t="s">
        <v>1469</v>
      </c>
      <c r="I172" s="59" t="s">
        <v>1009</v>
      </c>
      <c r="J172" s="59"/>
      <c r="K172" s="59"/>
    </row>
    <row r="173" spans="1:11" s="13" customFormat="1">
      <c r="A173" s="58">
        <v>125</v>
      </c>
      <c r="B173" s="13" t="s">
        <v>3430</v>
      </c>
      <c r="C173" s="13" t="s">
        <v>3431</v>
      </c>
      <c r="D173" s="13" t="s">
        <v>2735</v>
      </c>
      <c r="F173" s="13" t="s">
        <v>1010</v>
      </c>
      <c r="G173" s="13" t="s">
        <v>1514</v>
      </c>
      <c r="H173" s="13" t="s">
        <v>1469</v>
      </c>
      <c r="I173" s="59" t="s">
        <v>1009</v>
      </c>
      <c r="J173" s="59"/>
      <c r="K173" s="59"/>
    </row>
    <row r="174" spans="1:11" s="13" customFormat="1">
      <c r="A174" s="58">
        <v>127</v>
      </c>
      <c r="B174" s="13" t="s">
        <v>3432</v>
      </c>
      <c r="C174" s="13" t="s">
        <v>3433</v>
      </c>
      <c r="D174" s="13" t="s">
        <v>2735</v>
      </c>
      <c r="F174" s="13" t="s">
        <v>1010</v>
      </c>
      <c r="G174" s="13" t="s">
        <v>1514</v>
      </c>
      <c r="H174" s="13" t="s">
        <v>1469</v>
      </c>
      <c r="I174" s="59" t="s">
        <v>1009</v>
      </c>
      <c r="J174" s="59"/>
      <c r="K174" s="59"/>
    </row>
    <row r="175" spans="1:11" s="13" customFormat="1">
      <c r="A175" s="58">
        <v>130</v>
      </c>
      <c r="B175" s="13" t="s">
        <v>3434</v>
      </c>
      <c r="C175" s="13" t="s">
        <v>3435</v>
      </c>
      <c r="D175" s="13" t="s">
        <v>2735</v>
      </c>
      <c r="F175" s="13" t="s">
        <v>1010</v>
      </c>
      <c r="G175" s="13" t="s">
        <v>1524</v>
      </c>
      <c r="H175" s="13" t="s">
        <v>1527</v>
      </c>
      <c r="I175" s="59" t="s">
        <v>1009</v>
      </c>
      <c r="J175" s="59"/>
      <c r="K175" s="59"/>
    </row>
    <row r="176" spans="1:11" s="13" customFormat="1">
      <c r="A176" s="58">
        <v>133</v>
      </c>
      <c r="B176" s="13" t="s">
        <v>2658</v>
      </c>
      <c r="C176" s="13" t="s">
        <v>3436</v>
      </c>
      <c r="D176" s="13" t="s">
        <v>2735</v>
      </c>
      <c r="F176" s="13" t="s">
        <v>1010</v>
      </c>
      <c r="G176" s="13" t="s">
        <v>1514</v>
      </c>
      <c r="H176" s="13" t="s">
        <v>1527</v>
      </c>
      <c r="I176" s="59" t="s">
        <v>1009</v>
      </c>
      <c r="J176" s="59"/>
      <c r="K176" s="59"/>
    </row>
    <row r="177" spans="1:11" s="13" customFormat="1">
      <c r="A177" s="58">
        <v>134</v>
      </c>
      <c r="B177" s="13" t="s">
        <v>3437</v>
      </c>
      <c r="C177" s="13" t="s">
        <v>3438</v>
      </c>
      <c r="D177" s="13" t="s">
        <v>2735</v>
      </c>
      <c r="F177" s="13" t="s">
        <v>1010</v>
      </c>
      <c r="G177" s="13" t="s">
        <v>1524</v>
      </c>
      <c r="H177" s="13" t="s">
        <v>1469</v>
      </c>
      <c r="I177" s="59" t="s">
        <v>1009</v>
      </c>
      <c r="J177" s="59"/>
      <c r="K177" s="59"/>
    </row>
    <row r="178" spans="1:11" s="13" customFormat="1">
      <c r="A178" s="58">
        <v>136</v>
      </c>
      <c r="B178" s="13" t="s">
        <v>3439</v>
      </c>
      <c r="C178" s="13" t="s">
        <v>3440</v>
      </c>
      <c r="D178" s="13" t="s">
        <v>2735</v>
      </c>
      <c r="F178" s="13" t="s">
        <v>1010</v>
      </c>
      <c r="G178" s="13" t="s">
        <v>1514</v>
      </c>
      <c r="H178" s="13" t="s">
        <v>1514</v>
      </c>
      <c r="I178" s="59" t="s">
        <v>1009</v>
      </c>
      <c r="J178" s="59"/>
      <c r="K178" s="59"/>
    </row>
    <row r="179" spans="1:11" s="13" customFormat="1">
      <c r="A179" s="58">
        <v>137</v>
      </c>
      <c r="B179" s="13" t="s">
        <v>3441</v>
      </c>
      <c r="C179" s="13" t="s">
        <v>3442</v>
      </c>
      <c r="D179" s="13" t="s">
        <v>2735</v>
      </c>
      <c r="F179" s="13" t="s">
        <v>1010</v>
      </c>
      <c r="G179" s="13" t="s">
        <v>1514</v>
      </c>
      <c r="H179" s="13" t="s">
        <v>1514</v>
      </c>
      <c r="I179" s="59" t="s">
        <v>1009</v>
      </c>
      <c r="J179" s="59"/>
      <c r="K179" s="59"/>
    </row>
    <row r="180" spans="1:11" s="13" customFormat="1">
      <c r="A180" s="58">
        <v>140</v>
      </c>
      <c r="B180" s="13" t="s">
        <v>3443</v>
      </c>
      <c r="C180" s="13" t="s">
        <v>3444</v>
      </c>
      <c r="D180" s="13" t="s">
        <v>2735</v>
      </c>
      <c r="F180" s="13" t="s">
        <v>1010</v>
      </c>
      <c r="G180" s="13" t="s">
        <v>1524</v>
      </c>
      <c r="H180" s="13" t="s">
        <v>1527</v>
      </c>
      <c r="I180" s="59" t="s">
        <v>1009</v>
      </c>
      <c r="J180" s="59"/>
      <c r="K180" s="59"/>
    </row>
    <row r="181" spans="1:11" s="13" customFormat="1">
      <c r="A181" s="58">
        <v>141</v>
      </c>
      <c r="B181" s="13" t="s">
        <v>3445</v>
      </c>
      <c r="C181" s="13" t="s">
        <v>3446</v>
      </c>
      <c r="D181" s="13" t="s">
        <v>2735</v>
      </c>
      <c r="F181" s="13" t="s">
        <v>1010</v>
      </c>
      <c r="G181" s="13" t="s">
        <v>1514</v>
      </c>
      <c r="H181" s="13" t="s">
        <v>1469</v>
      </c>
      <c r="I181" s="59" t="s">
        <v>1009</v>
      </c>
      <c r="J181" s="59"/>
      <c r="K181" s="59"/>
    </row>
    <row r="182" spans="1:11" s="13" customFormat="1">
      <c r="A182" s="58">
        <v>143</v>
      </c>
      <c r="B182" s="13" t="s">
        <v>3447</v>
      </c>
      <c r="C182" s="13" t="s">
        <v>3448</v>
      </c>
      <c r="D182" s="13" t="s">
        <v>2735</v>
      </c>
      <c r="F182" s="13" t="s">
        <v>1010</v>
      </c>
      <c r="G182" s="13" t="s">
        <v>1514</v>
      </c>
      <c r="H182" s="13" t="s">
        <v>1514</v>
      </c>
      <c r="I182" s="59" t="s">
        <v>1009</v>
      </c>
      <c r="J182" s="59"/>
      <c r="K182" s="59"/>
    </row>
    <row r="183" spans="1:11" s="13" customFormat="1">
      <c r="A183" s="58">
        <v>144</v>
      </c>
      <c r="B183" s="13" t="s">
        <v>3449</v>
      </c>
      <c r="C183" s="13" t="s">
        <v>3450</v>
      </c>
      <c r="D183" s="13" t="s">
        <v>2735</v>
      </c>
      <c r="F183" s="13" t="s">
        <v>1010</v>
      </c>
      <c r="G183" s="13" t="s">
        <v>1514</v>
      </c>
      <c r="H183" s="13" t="s">
        <v>1514</v>
      </c>
      <c r="I183" s="59" t="s">
        <v>1009</v>
      </c>
      <c r="J183" s="59"/>
      <c r="K183" s="59"/>
    </row>
    <row r="184" spans="1:11" s="13" customFormat="1">
      <c r="A184" s="58">
        <v>147</v>
      </c>
      <c r="B184" s="13" t="s">
        <v>3451</v>
      </c>
      <c r="C184" s="13" t="s">
        <v>3452</v>
      </c>
      <c r="D184" s="13" t="s">
        <v>2735</v>
      </c>
      <c r="F184" s="13" t="s">
        <v>1010</v>
      </c>
      <c r="G184" s="13" t="s">
        <v>1524</v>
      </c>
      <c r="H184" s="13" t="s">
        <v>1527</v>
      </c>
      <c r="I184" s="59" t="s">
        <v>1009</v>
      </c>
      <c r="J184" s="59"/>
      <c r="K184" s="59"/>
    </row>
    <row r="185" spans="1:11" s="13" customFormat="1">
      <c r="A185" s="58">
        <v>151</v>
      </c>
      <c r="B185" s="13" t="s">
        <v>3453</v>
      </c>
      <c r="C185" s="13" t="s">
        <v>3454</v>
      </c>
      <c r="D185" s="13" t="s">
        <v>2735</v>
      </c>
      <c r="F185" s="13" t="s">
        <v>1010</v>
      </c>
      <c r="G185" s="13" t="s">
        <v>1524</v>
      </c>
      <c r="H185" s="13" t="s">
        <v>1527</v>
      </c>
      <c r="I185" s="59" t="s">
        <v>1009</v>
      </c>
      <c r="J185" s="59"/>
      <c r="K185" s="59"/>
    </row>
    <row r="186" spans="1:11" s="13" customFormat="1">
      <c r="A186" s="58">
        <v>152</v>
      </c>
      <c r="B186" s="13" t="s">
        <v>3455</v>
      </c>
      <c r="C186" s="13" t="s">
        <v>3456</v>
      </c>
      <c r="D186" s="13" t="s">
        <v>2735</v>
      </c>
      <c r="F186" s="13" t="s">
        <v>1010</v>
      </c>
      <c r="G186" s="13" t="s">
        <v>1514</v>
      </c>
      <c r="H186" s="13" t="s">
        <v>1514</v>
      </c>
      <c r="I186" s="59" t="s">
        <v>1009</v>
      </c>
      <c r="J186" s="59"/>
      <c r="K186" s="59"/>
    </row>
    <row r="187" spans="1:11" s="13" customFormat="1">
      <c r="A187" s="58">
        <v>153</v>
      </c>
      <c r="B187" s="13" t="s">
        <v>3457</v>
      </c>
      <c r="C187" s="13" t="s">
        <v>3458</v>
      </c>
      <c r="D187" s="13" t="s">
        <v>2735</v>
      </c>
      <c r="F187" s="13" t="s">
        <v>1010</v>
      </c>
      <c r="G187" s="13" t="s">
        <v>1524</v>
      </c>
      <c r="H187" s="13" t="s">
        <v>1527</v>
      </c>
      <c r="I187" s="59" t="s">
        <v>1009</v>
      </c>
      <c r="J187" s="59"/>
      <c r="K187" s="59"/>
    </row>
    <row r="188" spans="1:11" s="13" customFormat="1">
      <c r="A188" s="58">
        <v>154</v>
      </c>
      <c r="B188" s="13" t="s">
        <v>3459</v>
      </c>
      <c r="C188" s="13" t="s">
        <v>3460</v>
      </c>
      <c r="D188" s="13" t="s">
        <v>2735</v>
      </c>
      <c r="F188" s="13" t="s">
        <v>1010</v>
      </c>
      <c r="G188" s="13" t="s">
        <v>1524</v>
      </c>
      <c r="H188" s="13" t="s">
        <v>1469</v>
      </c>
      <c r="I188" s="59" t="s">
        <v>1009</v>
      </c>
      <c r="J188" s="59"/>
      <c r="K188" s="59"/>
    </row>
    <row r="189" spans="1:11" s="13" customFormat="1">
      <c r="A189" s="58">
        <v>155</v>
      </c>
      <c r="B189" s="13" t="s">
        <v>3461</v>
      </c>
      <c r="C189" s="13" t="s">
        <v>3462</v>
      </c>
      <c r="D189" s="13" t="s">
        <v>2735</v>
      </c>
      <c r="F189" s="13" t="s">
        <v>1010</v>
      </c>
      <c r="G189" s="13" t="s">
        <v>1514</v>
      </c>
      <c r="H189" s="13" t="s">
        <v>1517</v>
      </c>
      <c r="I189" s="59" t="s">
        <v>1009</v>
      </c>
      <c r="J189" s="59"/>
      <c r="K189" s="59"/>
    </row>
    <row r="190" spans="1:11" s="13" customFormat="1">
      <c r="A190" s="58">
        <v>157</v>
      </c>
      <c r="B190" s="34" t="s">
        <v>3463</v>
      </c>
      <c r="C190" s="34" t="s">
        <v>3464</v>
      </c>
      <c r="D190" s="34" t="s">
        <v>2735</v>
      </c>
      <c r="E190" s="34" t="s">
        <v>2735</v>
      </c>
      <c r="F190" s="34" t="s">
        <v>1010</v>
      </c>
      <c r="G190" s="34" t="s">
        <v>1524</v>
      </c>
      <c r="H190" s="34" t="s">
        <v>1469</v>
      </c>
      <c r="I190" s="59" t="s">
        <v>1009</v>
      </c>
      <c r="J190" s="59"/>
      <c r="K190" s="59"/>
    </row>
    <row r="191" spans="1:11" s="13" customFormat="1">
      <c r="A191" s="58">
        <v>159</v>
      </c>
      <c r="B191" s="13" t="s">
        <v>3465</v>
      </c>
      <c r="C191" s="13" t="s">
        <v>3466</v>
      </c>
      <c r="D191" s="13" t="s">
        <v>2735</v>
      </c>
      <c r="F191" s="13" t="s">
        <v>1010</v>
      </c>
      <c r="G191" s="13" t="s">
        <v>1514</v>
      </c>
      <c r="H191" s="13" t="s">
        <v>1514</v>
      </c>
      <c r="I191" s="59" t="s">
        <v>1009</v>
      </c>
      <c r="J191" s="59"/>
      <c r="K191" s="59"/>
    </row>
    <row r="192" spans="1:11" s="13" customFormat="1">
      <c r="A192" s="58">
        <v>160</v>
      </c>
      <c r="B192" s="13" t="s">
        <v>3467</v>
      </c>
      <c r="C192" s="13" t="s">
        <v>3468</v>
      </c>
      <c r="D192" s="13" t="s">
        <v>2735</v>
      </c>
      <c r="F192" s="13" t="s">
        <v>1010</v>
      </c>
      <c r="G192" s="13" t="s">
        <v>1514</v>
      </c>
      <c r="H192" s="13" t="s">
        <v>1469</v>
      </c>
      <c r="I192" s="59" t="s">
        <v>1009</v>
      </c>
      <c r="J192" s="59"/>
      <c r="K192" s="59"/>
    </row>
    <row r="193" spans="1:11" s="13" customFormat="1">
      <c r="A193" s="58">
        <v>161</v>
      </c>
      <c r="B193" s="13" t="s">
        <v>3469</v>
      </c>
      <c r="C193" s="13" t="s">
        <v>3470</v>
      </c>
      <c r="D193" s="13" t="s">
        <v>2735</v>
      </c>
      <c r="F193" s="13" t="s">
        <v>1010</v>
      </c>
      <c r="G193" s="13" t="s">
        <v>1524</v>
      </c>
      <c r="H193" s="13" t="s">
        <v>1527</v>
      </c>
      <c r="I193" s="59" t="s">
        <v>1009</v>
      </c>
      <c r="J193" s="59"/>
      <c r="K193" s="59"/>
    </row>
    <row r="194" spans="1:11" s="13" customFormat="1">
      <c r="A194" s="58">
        <v>162</v>
      </c>
      <c r="B194" s="13" t="s">
        <v>3471</v>
      </c>
      <c r="C194" s="13" t="s">
        <v>3472</v>
      </c>
      <c r="D194" s="13" t="s">
        <v>2735</v>
      </c>
      <c r="F194" s="13" t="s">
        <v>1010</v>
      </c>
      <c r="G194" s="13" t="s">
        <v>1524</v>
      </c>
      <c r="H194" s="13" t="s">
        <v>1469</v>
      </c>
      <c r="I194" s="59" t="s">
        <v>1009</v>
      </c>
      <c r="J194" s="59"/>
      <c r="K194" s="59"/>
    </row>
    <row r="195" spans="1:11" s="13" customFormat="1">
      <c r="A195" s="58">
        <v>163</v>
      </c>
      <c r="B195" s="13" t="s">
        <v>2610</v>
      </c>
      <c r="C195" s="13" t="s">
        <v>3473</v>
      </c>
      <c r="D195" s="13" t="s">
        <v>2735</v>
      </c>
      <c r="F195" s="13" t="s">
        <v>1010</v>
      </c>
      <c r="G195" s="13" t="s">
        <v>1524</v>
      </c>
      <c r="H195" s="13" t="s">
        <v>1527</v>
      </c>
      <c r="I195" s="59" t="s">
        <v>1009</v>
      </c>
      <c r="J195" s="59"/>
      <c r="K195" s="59"/>
    </row>
    <row r="196" spans="1:11" s="13" customFormat="1">
      <c r="A196" s="58">
        <v>166</v>
      </c>
      <c r="B196" s="13" t="s">
        <v>699</v>
      </c>
      <c r="C196" s="13" t="s">
        <v>3474</v>
      </c>
      <c r="D196" s="13" t="s">
        <v>2735</v>
      </c>
      <c r="F196" s="13" t="s">
        <v>1010</v>
      </c>
      <c r="G196" s="13" t="s">
        <v>1514</v>
      </c>
      <c r="H196" s="13" t="s">
        <v>1527</v>
      </c>
      <c r="I196" s="59" t="s">
        <v>1009</v>
      </c>
      <c r="J196" s="59"/>
      <c r="K196" s="59"/>
    </row>
    <row r="197" spans="1:11" s="13" customFormat="1">
      <c r="A197" s="58">
        <v>168</v>
      </c>
      <c r="B197" s="13" t="s">
        <v>738</v>
      </c>
      <c r="C197" s="13" t="s">
        <v>3475</v>
      </c>
      <c r="D197" s="13" t="s">
        <v>2735</v>
      </c>
      <c r="F197" s="13" t="s">
        <v>1010</v>
      </c>
      <c r="G197" s="13" t="s">
        <v>1524</v>
      </c>
      <c r="H197" s="13" t="s">
        <v>1514</v>
      </c>
      <c r="I197" s="59" t="s">
        <v>1009</v>
      </c>
      <c r="J197" s="59"/>
      <c r="K197" s="59"/>
    </row>
    <row r="198" spans="1:11" s="13" customFormat="1">
      <c r="A198" s="58">
        <v>169</v>
      </c>
      <c r="B198" s="13" t="s">
        <v>3476</v>
      </c>
      <c r="C198" s="13" t="s">
        <v>3477</v>
      </c>
      <c r="D198" s="13" t="s">
        <v>2735</v>
      </c>
      <c r="F198" s="13" t="s">
        <v>1010</v>
      </c>
      <c r="G198" s="13" t="s">
        <v>1524</v>
      </c>
      <c r="H198" s="13" t="s">
        <v>1469</v>
      </c>
      <c r="I198" s="59" t="s">
        <v>1009</v>
      </c>
      <c r="J198" s="59"/>
      <c r="K198" s="59"/>
    </row>
    <row r="199" spans="1:11" s="13" customFormat="1">
      <c r="A199" s="58">
        <v>170</v>
      </c>
      <c r="B199" s="13" t="s">
        <v>3478</v>
      </c>
      <c r="C199" s="13" t="s">
        <v>3479</v>
      </c>
      <c r="D199" s="13" t="s">
        <v>2735</v>
      </c>
      <c r="F199" s="13" t="s">
        <v>1010</v>
      </c>
      <c r="G199" s="13" t="s">
        <v>1524</v>
      </c>
      <c r="H199" s="13" t="s">
        <v>1527</v>
      </c>
      <c r="I199" s="59" t="s">
        <v>1009</v>
      </c>
      <c r="J199" s="59"/>
      <c r="K199" s="59"/>
    </row>
    <row r="200" spans="1:11" s="13" customFormat="1">
      <c r="A200" s="58">
        <v>173</v>
      </c>
      <c r="B200" s="13" t="s">
        <v>3480</v>
      </c>
      <c r="C200" s="13" t="s">
        <v>3481</v>
      </c>
      <c r="D200" s="13" t="s">
        <v>2735</v>
      </c>
      <c r="F200" s="13" t="s">
        <v>1010</v>
      </c>
      <c r="G200" s="13" t="s">
        <v>1524</v>
      </c>
      <c r="H200" s="13" t="s">
        <v>1469</v>
      </c>
      <c r="I200" s="59" t="s">
        <v>1009</v>
      </c>
      <c r="J200" s="59"/>
      <c r="K200" s="59"/>
    </row>
    <row r="201" spans="1:11" s="13" customFormat="1">
      <c r="A201" s="58">
        <v>174</v>
      </c>
      <c r="B201" s="13" t="s">
        <v>3482</v>
      </c>
      <c r="C201" s="13" t="s">
        <v>3483</v>
      </c>
      <c r="D201" s="13" t="s">
        <v>2735</v>
      </c>
      <c r="F201" s="13" t="s">
        <v>1010</v>
      </c>
      <c r="G201" s="13" t="s">
        <v>1514</v>
      </c>
      <c r="H201" s="13" t="s">
        <v>1469</v>
      </c>
      <c r="I201" s="59" t="s">
        <v>1009</v>
      </c>
      <c r="J201" s="59"/>
      <c r="K201" s="59"/>
    </row>
    <row r="202" spans="1:11" s="13" customFormat="1">
      <c r="A202" s="58">
        <v>176</v>
      </c>
      <c r="B202" s="13" t="s">
        <v>3484</v>
      </c>
      <c r="C202" s="13" t="s">
        <v>3485</v>
      </c>
      <c r="D202" s="13" t="s">
        <v>2735</v>
      </c>
      <c r="F202" s="13" t="s">
        <v>1010</v>
      </c>
      <c r="G202" s="13" t="s">
        <v>1524</v>
      </c>
      <c r="H202" s="13" t="s">
        <v>1469</v>
      </c>
      <c r="I202" s="59" t="s">
        <v>1009</v>
      </c>
      <c r="J202" s="59"/>
      <c r="K202" s="59"/>
    </row>
    <row r="203" spans="1:11" s="13" customFormat="1">
      <c r="A203" s="58">
        <v>177</v>
      </c>
      <c r="B203" s="13" t="s">
        <v>3486</v>
      </c>
      <c r="C203" s="13" t="s">
        <v>3487</v>
      </c>
      <c r="D203" s="13" t="s">
        <v>2735</v>
      </c>
      <c r="F203" s="13" t="s">
        <v>1010</v>
      </c>
      <c r="G203" s="13" t="s">
        <v>1514</v>
      </c>
      <c r="H203" s="13" t="s">
        <v>1469</v>
      </c>
      <c r="I203" s="59" t="s">
        <v>1009</v>
      </c>
      <c r="J203" s="59"/>
      <c r="K203" s="59"/>
    </row>
    <row r="204" spans="1:11" s="13" customFormat="1">
      <c r="A204" s="58">
        <v>178</v>
      </c>
      <c r="B204" s="13" t="s">
        <v>3488</v>
      </c>
      <c r="C204" s="13" t="s">
        <v>3489</v>
      </c>
      <c r="D204" s="13" t="s">
        <v>2735</v>
      </c>
      <c r="F204" s="13" t="s">
        <v>1010</v>
      </c>
      <c r="G204" s="13" t="s">
        <v>1514</v>
      </c>
      <c r="H204" s="13" t="s">
        <v>1514</v>
      </c>
      <c r="I204" s="59" t="s">
        <v>1009</v>
      </c>
      <c r="J204" s="59"/>
      <c r="K204" s="59"/>
    </row>
    <row r="205" spans="1:11" s="13" customFormat="1">
      <c r="A205" s="58">
        <v>179</v>
      </c>
      <c r="B205" s="13" t="s">
        <v>3490</v>
      </c>
      <c r="C205" s="13" t="s">
        <v>3491</v>
      </c>
      <c r="D205" s="13" t="s">
        <v>2735</v>
      </c>
      <c r="F205" s="13" t="s">
        <v>1010</v>
      </c>
      <c r="G205" s="13" t="s">
        <v>1514</v>
      </c>
      <c r="H205" s="13" t="s">
        <v>1469</v>
      </c>
      <c r="I205" s="59" t="s">
        <v>1009</v>
      </c>
      <c r="J205" s="59"/>
      <c r="K205" s="59"/>
    </row>
    <row r="206" spans="1:11" s="13" customFormat="1">
      <c r="A206" s="58">
        <v>180</v>
      </c>
      <c r="B206" s="13" t="s">
        <v>3492</v>
      </c>
      <c r="C206" s="13" t="s">
        <v>3493</v>
      </c>
      <c r="D206" s="13" t="s">
        <v>2735</v>
      </c>
      <c r="F206" s="13" t="s">
        <v>1010</v>
      </c>
      <c r="G206" s="13" t="s">
        <v>1514</v>
      </c>
      <c r="H206" s="13" t="s">
        <v>1517</v>
      </c>
      <c r="I206" s="59" t="s">
        <v>1009</v>
      </c>
      <c r="J206" s="59"/>
      <c r="K206" s="59"/>
    </row>
    <row r="207" spans="1:11" s="13" customFormat="1">
      <c r="A207" s="58">
        <v>181</v>
      </c>
      <c r="B207" s="13" t="s">
        <v>3494</v>
      </c>
      <c r="C207" s="13" t="s">
        <v>3495</v>
      </c>
      <c r="D207" s="13" t="s">
        <v>2735</v>
      </c>
      <c r="F207" s="13" t="s">
        <v>1010</v>
      </c>
      <c r="G207" s="13" t="s">
        <v>1524</v>
      </c>
      <c r="H207" s="13" t="s">
        <v>1514</v>
      </c>
      <c r="I207" s="59" t="s">
        <v>1009</v>
      </c>
      <c r="J207" s="59"/>
      <c r="K207" s="59"/>
    </row>
    <row r="208" spans="1:11" s="13" customFormat="1">
      <c r="A208" s="58">
        <v>183</v>
      </c>
      <c r="B208" s="13" t="s">
        <v>3496</v>
      </c>
      <c r="C208" s="13" t="s">
        <v>3497</v>
      </c>
      <c r="D208" s="13" t="s">
        <v>2735</v>
      </c>
      <c r="F208" s="13" t="s">
        <v>1010</v>
      </c>
      <c r="G208" s="13" t="s">
        <v>1524</v>
      </c>
      <c r="H208" s="13" t="s">
        <v>1514</v>
      </c>
      <c r="I208" s="59" t="s">
        <v>1009</v>
      </c>
      <c r="J208" s="59"/>
      <c r="K208" s="59"/>
    </row>
    <row r="209" spans="1:11" s="13" customFormat="1">
      <c r="A209" s="58">
        <v>184</v>
      </c>
      <c r="B209" s="13" t="s">
        <v>3498</v>
      </c>
      <c r="C209" s="13" t="s">
        <v>3499</v>
      </c>
      <c r="D209" s="13" t="s">
        <v>2735</v>
      </c>
      <c r="F209" s="13" t="s">
        <v>1010</v>
      </c>
      <c r="G209" s="13" t="s">
        <v>1524</v>
      </c>
      <c r="H209" s="13" t="s">
        <v>1469</v>
      </c>
      <c r="I209" s="59" t="s">
        <v>1009</v>
      </c>
      <c r="J209" s="59"/>
      <c r="K209" s="59"/>
    </row>
    <row r="210" spans="1:11" s="13" customFormat="1">
      <c r="A210" s="58">
        <v>185</v>
      </c>
      <c r="B210" s="13" t="s">
        <v>3500</v>
      </c>
      <c r="C210" s="13" t="s">
        <v>3501</v>
      </c>
      <c r="D210" s="13" t="s">
        <v>2735</v>
      </c>
      <c r="F210" s="13" t="s">
        <v>1010</v>
      </c>
      <c r="G210" s="13" t="s">
        <v>1524</v>
      </c>
      <c r="H210" s="13" t="s">
        <v>1469</v>
      </c>
      <c r="I210" s="59" t="s">
        <v>1009</v>
      </c>
      <c r="J210" s="59"/>
      <c r="K210" s="59"/>
    </row>
    <row r="211" spans="1:11" s="13" customFormat="1">
      <c r="A211" s="58">
        <v>186</v>
      </c>
      <c r="B211" s="13" t="s">
        <v>3502</v>
      </c>
      <c r="C211" s="13" t="s">
        <v>3503</v>
      </c>
      <c r="D211" s="13" t="s">
        <v>2735</v>
      </c>
      <c r="F211" s="13" t="s">
        <v>1010</v>
      </c>
      <c r="G211" s="13" t="s">
        <v>1524</v>
      </c>
      <c r="H211" s="13" t="s">
        <v>1469</v>
      </c>
      <c r="I211" s="59" t="s">
        <v>1009</v>
      </c>
      <c r="J211" s="59"/>
      <c r="K211" s="59"/>
    </row>
    <row r="212" spans="1:11" s="13" customFormat="1">
      <c r="A212" s="58">
        <v>187</v>
      </c>
      <c r="B212" s="13" t="s">
        <v>3504</v>
      </c>
      <c r="C212" s="13" t="s">
        <v>3505</v>
      </c>
      <c r="D212" s="13" t="s">
        <v>2735</v>
      </c>
      <c r="F212" s="13" t="s">
        <v>1010</v>
      </c>
      <c r="G212" s="13" t="s">
        <v>1514</v>
      </c>
      <c r="H212" s="13" t="s">
        <v>1527</v>
      </c>
      <c r="I212" s="59" t="s">
        <v>1009</v>
      </c>
      <c r="J212" s="59"/>
      <c r="K212" s="59"/>
    </row>
    <row r="213" spans="1:11" s="13" customFormat="1">
      <c r="A213" s="58">
        <v>188</v>
      </c>
      <c r="B213" s="13" t="s">
        <v>3506</v>
      </c>
      <c r="C213" s="13" t="s">
        <v>3507</v>
      </c>
      <c r="D213" s="13" t="s">
        <v>2735</v>
      </c>
      <c r="F213" s="13" t="s">
        <v>1010</v>
      </c>
      <c r="G213" s="13" t="s">
        <v>1524</v>
      </c>
      <c r="H213" s="13" t="s">
        <v>1469</v>
      </c>
      <c r="I213" s="59" t="s">
        <v>1009</v>
      </c>
      <c r="J213" s="59"/>
      <c r="K213" s="59"/>
    </row>
    <row r="214" spans="1:11" s="13" customFormat="1">
      <c r="A214" s="58">
        <v>189</v>
      </c>
      <c r="B214" s="13" t="s">
        <v>3508</v>
      </c>
      <c r="C214" s="13" t="s">
        <v>3509</v>
      </c>
      <c r="D214" s="13" t="s">
        <v>2735</v>
      </c>
      <c r="F214" s="13" t="s">
        <v>1010</v>
      </c>
      <c r="G214" s="13" t="s">
        <v>1514</v>
      </c>
      <c r="H214" s="13" t="s">
        <v>1469</v>
      </c>
      <c r="I214" s="59" t="s">
        <v>1009</v>
      </c>
      <c r="J214" s="59"/>
      <c r="K214" s="59"/>
    </row>
    <row r="215" spans="1:11" s="13" customFormat="1">
      <c r="A215" s="58">
        <v>190</v>
      </c>
      <c r="B215" s="13" t="s">
        <v>3510</v>
      </c>
      <c r="C215" s="13" t="s">
        <v>3511</v>
      </c>
      <c r="D215" s="13" t="s">
        <v>2735</v>
      </c>
      <c r="F215" s="13" t="s">
        <v>1010</v>
      </c>
      <c r="G215" s="13" t="s">
        <v>1524</v>
      </c>
      <c r="H215" s="13" t="s">
        <v>1527</v>
      </c>
      <c r="I215" s="59" t="s">
        <v>1009</v>
      </c>
      <c r="J215" s="59"/>
      <c r="K215" s="59"/>
    </row>
    <row r="216" spans="1:11" s="13" customFormat="1">
      <c r="A216" s="58">
        <v>191</v>
      </c>
      <c r="B216" s="13" t="s">
        <v>3512</v>
      </c>
      <c r="C216" s="13" t="s">
        <v>3513</v>
      </c>
      <c r="D216" s="13" t="s">
        <v>2735</v>
      </c>
      <c r="F216" s="13" t="s">
        <v>1010</v>
      </c>
      <c r="G216" s="13" t="s">
        <v>1514</v>
      </c>
      <c r="H216" s="13" t="s">
        <v>1469</v>
      </c>
      <c r="I216" s="59" t="s">
        <v>1009</v>
      </c>
      <c r="J216" s="59"/>
      <c r="K216" s="59"/>
    </row>
    <row r="217" spans="1:11" s="13" customFormat="1">
      <c r="A217" s="58">
        <v>192</v>
      </c>
      <c r="B217" s="13" t="s">
        <v>3514</v>
      </c>
      <c r="C217" s="13" t="s">
        <v>3515</v>
      </c>
      <c r="D217" s="13" t="s">
        <v>2735</v>
      </c>
      <c r="F217" s="13" t="s">
        <v>1010</v>
      </c>
      <c r="G217" s="13" t="s">
        <v>1524</v>
      </c>
      <c r="H217" s="13" t="s">
        <v>1469</v>
      </c>
      <c r="I217" s="59" t="s">
        <v>1009</v>
      </c>
      <c r="J217" s="59"/>
      <c r="K217" s="59"/>
    </row>
    <row r="218" spans="1:11" s="13" customFormat="1">
      <c r="A218" s="58">
        <v>193</v>
      </c>
      <c r="B218" s="13" t="s">
        <v>882</v>
      </c>
      <c r="C218" s="13" t="s">
        <v>3516</v>
      </c>
      <c r="D218" s="13" t="s">
        <v>2735</v>
      </c>
      <c r="F218" s="13" t="s">
        <v>1010</v>
      </c>
      <c r="G218" s="13" t="s">
        <v>1514</v>
      </c>
      <c r="H218" s="13" t="s">
        <v>1514</v>
      </c>
      <c r="I218" s="59" t="s">
        <v>1009</v>
      </c>
      <c r="J218" s="59"/>
      <c r="K218" s="59"/>
    </row>
    <row r="219" spans="1:11" s="13" customFormat="1">
      <c r="A219" s="58">
        <v>194</v>
      </c>
      <c r="B219" s="13" t="s">
        <v>3517</v>
      </c>
      <c r="C219" s="13" t="s">
        <v>3518</v>
      </c>
      <c r="D219" s="13" t="s">
        <v>2735</v>
      </c>
      <c r="F219" s="13" t="s">
        <v>1010</v>
      </c>
      <c r="G219" s="13" t="s">
        <v>1524</v>
      </c>
      <c r="H219" s="13" t="s">
        <v>1527</v>
      </c>
      <c r="I219" s="59" t="s">
        <v>1009</v>
      </c>
      <c r="J219" s="59"/>
      <c r="K219" s="59"/>
    </row>
    <row r="220" spans="1:11" s="13" customFormat="1">
      <c r="A220" s="58">
        <v>195</v>
      </c>
      <c r="B220" s="13" t="s">
        <v>3519</v>
      </c>
      <c r="C220" s="13" t="s">
        <v>3520</v>
      </c>
      <c r="D220" s="13" t="s">
        <v>2735</v>
      </c>
      <c r="F220" s="13" t="s">
        <v>1010</v>
      </c>
      <c r="G220" s="13" t="s">
        <v>1514</v>
      </c>
      <c r="H220" s="13" t="s">
        <v>1514</v>
      </c>
      <c r="I220" s="59" t="s">
        <v>1009</v>
      </c>
      <c r="J220" s="59"/>
      <c r="K220" s="59"/>
    </row>
    <row r="221" spans="1:11" s="13" customFormat="1">
      <c r="A221" s="58">
        <v>197</v>
      </c>
      <c r="B221" s="13" t="s">
        <v>3521</v>
      </c>
      <c r="C221" s="13" t="s">
        <v>3522</v>
      </c>
      <c r="D221" s="13" t="s">
        <v>2735</v>
      </c>
      <c r="F221" s="13" t="s">
        <v>1010</v>
      </c>
      <c r="G221" s="13" t="s">
        <v>1514</v>
      </c>
      <c r="H221" s="13" t="s">
        <v>1527</v>
      </c>
      <c r="I221" s="59" t="s">
        <v>1009</v>
      </c>
      <c r="J221" s="59"/>
      <c r="K221" s="59"/>
    </row>
    <row r="222" spans="1:11" s="13" customFormat="1">
      <c r="A222" s="58">
        <v>198</v>
      </c>
      <c r="B222" s="13" t="s">
        <v>3523</v>
      </c>
      <c r="C222" s="13" t="s">
        <v>3524</v>
      </c>
      <c r="D222" s="13" t="s">
        <v>2735</v>
      </c>
      <c r="F222" s="13" t="s">
        <v>1010</v>
      </c>
      <c r="G222" s="13" t="s">
        <v>1514</v>
      </c>
      <c r="H222" s="13" t="s">
        <v>1469</v>
      </c>
      <c r="I222" s="59" t="s">
        <v>1009</v>
      </c>
      <c r="J222" s="59"/>
      <c r="K222" s="59"/>
    </row>
    <row r="223" spans="1:11" s="13" customFormat="1">
      <c r="A223" s="58">
        <v>199</v>
      </c>
      <c r="B223" s="13" t="s">
        <v>3525</v>
      </c>
      <c r="C223" s="13" t="s">
        <v>3526</v>
      </c>
      <c r="D223" s="13" t="s">
        <v>2735</v>
      </c>
      <c r="F223" s="13" t="s">
        <v>1010</v>
      </c>
      <c r="G223" s="13" t="s">
        <v>1514</v>
      </c>
      <c r="H223" s="13" t="s">
        <v>1514</v>
      </c>
      <c r="I223" s="59" t="s">
        <v>1009</v>
      </c>
      <c r="J223" s="59"/>
      <c r="K223" s="59"/>
    </row>
    <row r="224" spans="1:11" s="13" customFormat="1">
      <c r="A224" s="58">
        <v>200</v>
      </c>
      <c r="B224" s="13" t="s">
        <v>3527</v>
      </c>
      <c r="C224" s="13" t="s">
        <v>3528</v>
      </c>
      <c r="D224" s="13" t="s">
        <v>2735</v>
      </c>
      <c r="F224" s="13" t="s">
        <v>1010</v>
      </c>
      <c r="G224" s="13" t="s">
        <v>1524</v>
      </c>
      <c r="H224" s="13" t="s">
        <v>1469</v>
      </c>
      <c r="I224" s="59" t="s">
        <v>1009</v>
      </c>
      <c r="J224" s="59"/>
      <c r="K224" s="59"/>
    </row>
    <row r="225" spans="1:11" s="13" customFormat="1">
      <c r="A225" s="58">
        <v>201</v>
      </c>
      <c r="B225" s="13" t="s">
        <v>3529</v>
      </c>
      <c r="C225" s="13" t="s">
        <v>3530</v>
      </c>
      <c r="D225" s="13" t="s">
        <v>2735</v>
      </c>
      <c r="F225" s="13" t="s">
        <v>1010</v>
      </c>
      <c r="G225" s="13" t="s">
        <v>1514</v>
      </c>
      <c r="H225" s="13" t="s">
        <v>1469</v>
      </c>
      <c r="I225" s="59" t="s">
        <v>1009</v>
      </c>
      <c r="J225" s="59"/>
      <c r="K225" s="59"/>
    </row>
    <row r="226" spans="1:11" s="13" customFormat="1">
      <c r="A226" s="58">
        <v>202</v>
      </c>
      <c r="B226" s="13" t="s">
        <v>3531</v>
      </c>
      <c r="C226" s="13" t="s">
        <v>3532</v>
      </c>
      <c r="D226" s="13" t="s">
        <v>2735</v>
      </c>
      <c r="F226" s="13" t="s">
        <v>1010</v>
      </c>
      <c r="G226" s="13" t="s">
        <v>1524</v>
      </c>
      <c r="H226" s="13" t="s">
        <v>1469</v>
      </c>
      <c r="I226" s="59" t="s">
        <v>1009</v>
      </c>
      <c r="J226" s="59"/>
      <c r="K226" s="59"/>
    </row>
    <row r="227" spans="1:11" s="13" customFormat="1">
      <c r="A227" s="58">
        <v>204</v>
      </c>
      <c r="B227" s="13" t="s">
        <v>3533</v>
      </c>
      <c r="C227" s="13" t="s">
        <v>3534</v>
      </c>
      <c r="D227" s="13" t="s">
        <v>2735</v>
      </c>
      <c r="F227" s="13" t="s">
        <v>1010</v>
      </c>
      <c r="G227" s="13" t="s">
        <v>1524</v>
      </c>
      <c r="H227" s="13" t="s">
        <v>1469</v>
      </c>
      <c r="I227" s="59" t="s">
        <v>1009</v>
      </c>
      <c r="J227" s="59"/>
      <c r="K227" s="59"/>
    </row>
    <row r="228" spans="1:11" s="13" customFormat="1">
      <c r="A228" s="58">
        <v>205</v>
      </c>
      <c r="B228" s="13" t="s">
        <v>3535</v>
      </c>
      <c r="C228" s="13" t="s">
        <v>3536</v>
      </c>
      <c r="D228" s="13" t="s">
        <v>2735</v>
      </c>
      <c r="F228" s="13" t="s">
        <v>1010</v>
      </c>
      <c r="G228" s="13" t="s">
        <v>1524</v>
      </c>
      <c r="H228" s="13" t="s">
        <v>1469</v>
      </c>
      <c r="I228" s="59" t="s">
        <v>1009</v>
      </c>
      <c r="J228" s="59"/>
      <c r="K228" s="59"/>
    </row>
    <row r="229" spans="1:11" s="13" customFormat="1">
      <c r="A229" s="58">
        <v>207</v>
      </c>
      <c r="B229" s="13" t="s">
        <v>3537</v>
      </c>
      <c r="C229" s="13" t="s">
        <v>3538</v>
      </c>
      <c r="D229" s="13" t="s">
        <v>2735</v>
      </c>
      <c r="F229" s="13" t="s">
        <v>1010</v>
      </c>
      <c r="G229" s="13" t="s">
        <v>1514</v>
      </c>
      <c r="H229" s="13" t="s">
        <v>1469</v>
      </c>
      <c r="I229" s="59" t="s">
        <v>1009</v>
      </c>
      <c r="J229" s="59"/>
      <c r="K229" s="59"/>
    </row>
    <row r="230" spans="1:11" s="13" customFormat="1">
      <c r="A230" s="58">
        <v>208</v>
      </c>
      <c r="B230" s="13" t="s">
        <v>3539</v>
      </c>
      <c r="C230" s="13" t="s">
        <v>3540</v>
      </c>
      <c r="D230" s="13" t="s">
        <v>2735</v>
      </c>
      <c r="F230" s="13" t="s">
        <v>1010</v>
      </c>
      <c r="G230" s="13" t="s">
        <v>1524</v>
      </c>
      <c r="H230" s="13" t="s">
        <v>1527</v>
      </c>
      <c r="I230" s="59" t="s">
        <v>1009</v>
      </c>
      <c r="J230" s="59"/>
      <c r="K230" s="59"/>
    </row>
    <row r="231" spans="1:11" s="13" customFormat="1">
      <c r="A231" s="58">
        <v>209</v>
      </c>
      <c r="B231" s="13" t="s">
        <v>3541</v>
      </c>
      <c r="C231" s="13" t="s">
        <v>3542</v>
      </c>
      <c r="D231" s="13" t="s">
        <v>2735</v>
      </c>
      <c r="F231" s="13" t="s">
        <v>1010</v>
      </c>
      <c r="G231" s="13" t="s">
        <v>1524</v>
      </c>
      <c r="H231" s="13" t="s">
        <v>1517</v>
      </c>
      <c r="I231" s="59" t="s">
        <v>1009</v>
      </c>
      <c r="J231" s="59"/>
      <c r="K231" s="59"/>
    </row>
    <row r="232" spans="1:11" s="13" customFormat="1">
      <c r="A232" s="58">
        <v>210</v>
      </c>
      <c r="B232" s="13" t="s">
        <v>3543</v>
      </c>
      <c r="C232" s="13" t="s">
        <v>3544</v>
      </c>
      <c r="D232" s="13" t="s">
        <v>2735</v>
      </c>
      <c r="F232" s="13" t="s">
        <v>1010</v>
      </c>
      <c r="G232" s="13" t="s">
        <v>1524</v>
      </c>
      <c r="H232" s="13" t="s">
        <v>1527</v>
      </c>
      <c r="I232" s="59" t="s">
        <v>1009</v>
      </c>
      <c r="J232" s="59"/>
      <c r="K232" s="59"/>
    </row>
    <row r="233" spans="1:11" s="13" customFormat="1">
      <c r="A233" s="58">
        <v>212</v>
      </c>
      <c r="B233" s="13" t="s">
        <v>3545</v>
      </c>
      <c r="C233" s="13" t="s">
        <v>3546</v>
      </c>
      <c r="D233" s="13" t="s">
        <v>2735</v>
      </c>
      <c r="F233" s="13" t="s">
        <v>1010</v>
      </c>
      <c r="G233" s="13" t="s">
        <v>1514</v>
      </c>
      <c r="H233" s="13" t="s">
        <v>1514</v>
      </c>
      <c r="I233" s="59" t="s">
        <v>1009</v>
      </c>
      <c r="J233" s="59"/>
      <c r="K233" s="59"/>
    </row>
    <row r="234" spans="1:11" s="13" customFormat="1">
      <c r="A234" s="58">
        <v>213</v>
      </c>
      <c r="B234" s="13" t="s">
        <v>3547</v>
      </c>
      <c r="C234" s="13" t="s">
        <v>3548</v>
      </c>
      <c r="D234" s="13" t="s">
        <v>2735</v>
      </c>
      <c r="F234" s="13" t="s">
        <v>1010</v>
      </c>
      <c r="G234" s="13" t="s">
        <v>1514</v>
      </c>
      <c r="H234" s="13" t="s">
        <v>1527</v>
      </c>
      <c r="I234" s="59" t="s">
        <v>1009</v>
      </c>
      <c r="J234" s="59"/>
      <c r="K234" s="59"/>
    </row>
    <row r="235" spans="1:11" s="13" customFormat="1">
      <c r="A235" s="58">
        <v>214</v>
      </c>
      <c r="B235" s="13" t="s">
        <v>3549</v>
      </c>
      <c r="C235" s="13" t="s">
        <v>3550</v>
      </c>
      <c r="D235" s="13" t="s">
        <v>2735</v>
      </c>
      <c r="F235" s="13" t="s">
        <v>1010</v>
      </c>
      <c r="G235" s="13" t="s">
        <v>1524</v>
      </c>
      <c r="H235" s="13" t="s">
        <v>3384</v>
      </c>
      <c r="I235" s="59" t="s">
        <v>1009</v>
      </c>
      <c r="J235" s="59"/>
      <c r="K235" s="59"/>
    </row>
    <row r="236" spans="1:11" s="13" customFormat="1">
      <c r="A236" s="58">
        <v>215</v>
      </c>
      <c r="B236" s="13" t="s">
        <v>3551</v>
      </c>
      <c r="C236" s="13" t="s">
        <v>3552</v>
      </c>
      <c r="D236" s="13" t="s">
        <v>2735</v>
      </c>
      <c r="F236" s="13" t="s">
        <v>1010</v>
      </c>
      <c r="G236" s="13" t="s">
        <v>1514</v>
      </c>
      <c r="H236" s="13" t="s">
        <v>1469</v>
      </c>
      <c r="I236" s="59" t="s">
        <v>1009</v>
      </c>
      <c r="J236" s="59"/>
      <c r="K236" s="59"/>
    </row>
    <row r="237" spans="1:11" s="13" customFormat="1">
      <c r="A237" s="58">
        <v>216</v>
      </c>
      <c r="B237" s="13" t="s">
        <v>226</v>
      </c>
      <c r="C237" s="13" t="s">
        <v>3553</v>
      </c>
      <c r="D237" s="13" t="s">
        <v>2735</v>
      </c>
      <c r="F237" s="13" t="s">
        <v>1010</v>
      </c>
      <c r="G237" s="13" t="s">
        <v>1524</v>
      </c>
      <c r="H237" s="13" t="s">
        <v>1469</v>
      </c>
      <c r="I237" s="59" t="s">
        <v>1009</v>
      </c>
      <c r="J237" s="59"/>
      <c r="K237" s="59"/>
    </row>
    <row r="238" spans="1:11" s="13" customFormat="1">
      <c r="E238" s="35" t="s">
        <v>95</v>
      </c>
      <c r="F238" s="35">
        <f>COUNTA(F105:F237)</f>
        <v>133</v>
      </c>
    </row>
  </sheetData>
  <hyperlinks>
    <hyperlink ref="A105" r:id="rId1" display="http://www.westlaw.com/Find/Default.wl?rs=dfa1.0&amp;vr=2.0&amp;DB=708&amp;FindType=Y&amp;SerialNum=2018897274"/>
    <hyperlink ref="A106" r:id="rId2" display="http://www.westlaw.com/Find/Default.wl?rs=dfa1.0&amp;vr=2.0&amp;DB=780&amp;FindType=Y&amp;SerialNum=2018252636"/>
    <hyperlink ref="A107" r:id="rId3" display="http://www.westlaw.com/Find/Default.wl?rs=dfa1.0&amp;vr=2.0&amp;DB=780&amp;FindType=Y&amp;SerialNum=2017865662"/>
    <hyperlink ref="A108" r:id="rId4" display="http://www.westlaw.com/Find/Default.wl?rs=dfa1.0&amp;vr=2.0&amp;DB=506&amp;FindType=Y&amp;SerialNum=2019924305"/>
    <hyperlink ref="A109" r:id="rId5" display="http://www.westlaw.com/Find/Default.wl?rs=dfa1.0&amp;vr=2.0&amp;DB=506&amp;FindType=Y&amp;SerialNum=2019902187"/>
    <hyperlink ref="A110" r:id="rId6" display="http://www.westlaw.com/Find/Default.wl?rs=dfa1.0&amp;vr=2.0&amp;DB=506&amp;FindType=Y&amp;SerialNum=2019864652"/>
    <hyperlink ref="A111" r:id="rId7" display="http://www.westlaw.com/Find/Default.wl?rs=dfa1.0&amp;vr=2.0&amp;DB=506&amp;FindType=Y&amp;SerialNum=2019864678"/>
    <hyperlink ref="A112" r:id="rId8" display="http://www.westlaw.com/Find/Default.wl?rs=dfa1.0&amp;vr=2.0&amp;DB=506&amp;FindType=Y&amp;SerialNum=2019751719"/>
    <hyperlink ref="A113" r:id="rId9" display="http://www.westlaw.com/Find/Default.wl?rs=dfa1.0&amp;vr=2.0&amp;DB=506&amp;FindType=Y&amp;SerialNum=2019731170"/>
    <hyperlink ref="A114" r:id="rId10" display="http://www.westlaw.com/Find/Default.wl?rs=dfa1.0&amp;vr=2.0&amp;DB=6538&amp;FindType=Y&amp;SerialNum=2019720658"/>
    <hyperlink ref="A115" r:id="rId11" display="http://www.westlaw.com/Find/Default.wl?rs=dfa1.0&amp;vr=2.0&amp;DB=506&amp;FindType=Y&amp;SerialNum=2019621330"/>
    <hyperlink ref="A116" r:id="rId12" display="http://www.westlaw.com/Find/Default.wl?rs=dfa1.0&amp;vr=2.0&amp;DB=506&amp;FindType=Y&amp;SerialNum=2019619424"/>
    <hyperlink ref="A117" r:id="rId13" display="http://www.westlaw.com/Find/Default.wl?rs=dfa1.0&amp;vr=2.0&amp;DB=506&amp;FindType=Y&amp;SerialNum=2019595590"/>
    <hyperlink ref="A118" r:id="rId14" display="http://www.westlaw.com/Find/Default.wl?rs=dfa1.0&amp;vr=2.0&amp;DB=506&amp;FindType=Y&amp;SerialNum=2019606257"/>
    <hyperlink ref="A119" r:id="rId15" display="http://www.westlaw.com/Find/Default.wl?rs=dfa1.0&amp;vr=2.0&amp;DB=506&amp;FindType=Y&amp;SerialNum=2019580332"/>
    <hyperlink ref="A120" r:id="rId16" display="http://www.westlaw.com/Find/Default.wl?rs=dfa1.0&amp;vr=2.0&amp;DB=506&amp;FindType=Y&amp;SerialNum=2019570495"/>
    <hyperlink ref="A121" r:id="rId17" display="http://www.westlaw.com/Find/Default.wl?rs=dfa1.0&amp;vr=2.0&amp;DB=6538&amp;FindType=Y&amp;SerialNum=2019550354"/>
    <hyperlink ref="A122" r:id="rId18" display="http://www.westlaw.com/Find/Default.wl?rs=dfa1.0&amp;vr=2.0&amp;DB=506&amp;FindType=Y&amp;SerialNum=2019525755"/>
    <hyperlink ref="A123" r:id="rId19" display="http://www.westlaw.com/Find/Default.wl?rs=dfa1.0&amp;vr=2.0&amp;DB=506&amp;FindType=Y&amp;SerialNum=2019466905"/>
    <hyperlink ref="A124" r:id="rId20" display="http://www.westlaw.com/Find/Default.wl?rs=dfa1.0&amp;vr=2.0&amp;DB=506&amp;FindType=Y&amp;SerialNum=2019402243"/>
    <hyperlink ref="A125" r:id="rId21" display="http://www.westlaw.com/Find/Default.wl?rs=dfa1.0&amp;vr=2.0&amp;DB=506&amp;FindType=Y&amp;SerialNum=2019395704"/>
    <hyperlink ref="A126" r:id="rId22" display="http://www.westlaw.com/Find/Default.wl?rs=dfa1.0&amp;vr=2.0&amp;DB=506&amp;FindType=Y&amp;SerialNum=2019263706"/>
    <hyperlink ref="A127" r:id="rId23" display="http://www.westlaw.com/Find/Default.wl?rs=dfa1.0&amp;vr=2.0&amp;DB=506&amp;FindType=Y&amp;SerialNum=2019114190"/>
    <hyperlink ref="A128" r:id="rId24" display="http://www.westlaw.com/Find/Default.wl?rs=dfa1.0&amp;vr=2.0&amp;DB=506&amp;FindType=Y&amp;SerialNum=2018983666"/>
    <hyperlink ref="A129" r:id="rId25" display="http://www.westlaw.com/Find/Default.wl?rs=dfa1.0&amp;vr=2.0&amp;DB=6538&amp;FindType=Y&amp;SerialNum=2018957056"/>
    <hyperlink ref="A130" r:id="rId26" display="http://www.westlaw.com/Find/Default.wl?rs=dfa1.0&amp;vr=2.0&amp;DB=506&amp;FindType=Y&amp;SerialNum=2018945601"/>
    <hyperlink ref="A131" r:id="rId27" display="http://www.westlaw.com/Find/Default.wl?rs=dfa1.0&amp;vr=2.0&amp;DB=506&amp;FindType=Y&amp;SerialNum=2018932834"/>
    <hyperlink ref="A132" r:id="rId28" display="http://www.westlaw.com/Find/Default.wl?rs=dfa1.0&amp;vr=2.0&amp;DB=6538&amp;FindType=Y&amp;SerialNum=2018865998"/>
    <hyperlink ref="A133" r:id="rId29" display="http://www.westlaw.com/Find/Default.wl?rs=dfa1.0&amp;vr=2.0&amp;DB=506&amp;FindType=Y&amp;SerialNum=2018842704"/>
    <hyperlink ref="A134" r:id="rId30" display="http://www.westlaw.com/Find/Default.wl?rs=dfa1.0&amp;vr=2.0&amp;DB=6538&amp;FindType=Y&amp;SerialNum=2018843744"/>
    <hyperlink ref="A135" r:id="rId31" display="http://www.westlaw.com/Find/Default.wl?rs=dfa1.0&amp;vr=2.0&amp;DB=506&amp;FindType=Y&amp;SerialNum=2018828639"/>
    <hyperlink ref="A136" r:id="rId32" display="http://www.westlaw.com/Find/Default.wl?rs=dfa1.0&amp;vr=2.0&amp;DB=506&amp;FindType=Y&amp;SerialNum=2018566556"/>
    <hyperlink ref="A137" r:id="rId33" display="http://www.westlaw.com/Find/Default.wl?rs=dfa1.0&amp;vr=2.0&amp;DB=6538&amp;FindType=Y&amp;SerialNum=2018559856"/>
    <hyperlink ref="A138" r:id="rId34" display="http://www.westlaw.com/Find/Default.wl?rs=dfa1.0&amp;vr=2.0&amp;DB=506&amp;FindType=Y&amp;SerialNum=2018494595"/>
    <hyperlink ref="A139" r:id="rId35" display="http://www.westlaw.com/Find/Default.wl?rs=dfa1.0&amp;vr=2.0&amp;DB=506&amp;FindType=Y&amp;SerialNum=2018412095"/>
    <hyperlink ref="A140" r:id="rId36" display="http://www.westlaw.com/Find/Default.wl?rs=dfa1.0&amp;vr=2.0&amp;DB=26&amp;FindType=Y&amp;SerialNum=2007372809"/>
    <hyperlink ref="A141" r:id="rId37" display="http://www.westlaw.com/Find/Default.wl?rs=dfa1.0&amp;vr=2.0&amp;DB=506&amp;FindType=Y&amp;SerialNum=2018269598"/>
    <hyperlink ref="A142" r:id="rId38" display="http://www.westlaw.com/Find/Default.wl?rs=dfa1.0&amp;vr=2.0&amp;DB=506&amp;FindType=Y&amp;SerialNum=2018271546"/>
    <hyperlink ref="A143" r:id="rId39" display="http://www.westlaw.com/Find/Default.wl?rs=dfa1.0&amp;vr=2.0&amp;DB=506&amp;FindType=Y&amp;SerialNum=2018285314"/>
    <hyperlink ref="A144" r:id="rId40" display="http://www.westlaw.com/Find/Default.wl?rs=dfa1.0&amp;vr=2.0&amp;DB=506&amp;FindType=Y&amp;SerialNum=2018208155"/>
    <hyperlink ref="A145" r:id="rId41" display="http://www.westlaw.com/Find/Default.wl?rs=dfa1.0&amp;vr=2.0&amp;DB=506&amp;FindType=Y&amp;SerialNum=2018165174"/>
    <hyperlink ref="A146" r:id="rId42" display="http://www.westlaw.com/Find/Default.wl?rs=dfa1.0&amp;vr=2.0&amp;DB=506&amp;FindType=Y&amp;SerialNum=2018139048"/>
    <hyperlink ref="A147" r:id="rId43" display="http://www.westlaw.com/Find/Default.wl?rs=dfa1.0&amp;vr=2.0&amp;DB=506&amp;FindType=Y&amp;SerialNum=2018116158"/>
    <hyperlink ref="A148" r:id="rId44" display="http://www.westlaw.com/Find/Default.wl?rs=dfa1.0&amp;vr=2.0&amp;DB=506&amp;FindType=Y&amp;SerialNum=2017998035"/>
    <hyperlink ref="A149" r:id="rId45" display="http://www.westlaw.com/Find/Default.wl?rs=dfa1.0&amp;vr=2.0&amp;DB=506&amp;FindType=Y&amp;SerialNum=2017998695"/>
    <hyperlink ref="A150" r:id="rId46" display="http://www.westlaw.com/Find/Default.wl?rs=dfa1.0&amp;vr=2.0&amp;DB=506&amp;FindType=Y&amp;SerialNum=2018590372"/>
    <hyperlink ref="A151" r:id="rId47" display="http://www.westlaw.com/Find/Default.wl?rs=dfa1.0&amp;vr=2.0&amp;DB=506&amp;FindType=Y&amp;SerialNum=2017720134"/>
    <hyperlink ref="A152" r:id="rId48" display="http://www.westlaw.com/Find/Default.wl?rs=dfa1.0&amp;vr=2.0&amp;DB=506&amp;FindType=Y&amp;SerialNum=2017683247"/>
    <hyperlink ref="A153" r:id="rId49" display="http://www.westlaw.com/Find/Default.wl?rs=dfa1.0&amp;vr=2.0&amp;DB=506&amp;FindType=Y&amp;SerialNum=2017622360"/>
    <hyperlink ref="A154" r:id="rId50" display="http://www.westlaw.com/Find/Default.wl?rs=dfa1.0&amp;vr=2.0&amp;DB=506&amp;FindType=Y&amp;SerialNum=2017602205"/>
    <hyperlink ref="A155" r:id="rId51" display="http://www.westlaw.com/Find/Default.wl?rs=dfa1.0&amp;vr=2.0&amp;DB=506&amp;FindType=Y&amp;SerialNum=2017591051"/>
    <hyperlink ref="A156" r:id="rId52" display="http://www.westlaw.com/Find/Default.wl?rs=dfa1.0&amp;vr=2.0&amp;DB=506&amp;FindType=Y&amp;SerialNum=2017591053"/>
    <hyperlink ref="A157" r:id="rId53" display="http://www.westlaw.com/Find/Default.wl?rs=dfa1.0&amp;vr=2.0&amp;DB=506&amp;FindType=Y&amp;SerialNum=2017570303"/>
    <hyperlink ref="A158" r:id="rId54" display="http://www.westlaw.com/Find/Default.wl?rs=dfa1.0&amp;vr=2.0&amp;DB=506&amp;FindType=Y&amp;SerialNum=2017498277"/>
    <hyperlink ref="A159" r:id="rId55" display="http://www.westlaw.com/Find/Default.wl?rs=dfa1.0&amp;vr=2.0&amp;DB=506&amp;FindType=Y&amp;SerialNum=2017470238"/>
    <hyperlink ref="A160" r:id="rId56" display="http://www.westlaw.com/Find/Default.wl?rs=dfa1.0&amp;vr=2.0&amp;DB=506&amp;FindType=Y&amp;SerialNum=2017452049"/>
    <hyperlink ref="A161" r:id="rId57" display="http://www.westlaw.com/Find/Default.wl?rs=dfa1.0&amp;vr=2.0&amp;DB=506&amp;FindType=Y&amp;SerialNum=2017439689"/>
    <hyperlink ref="A162" r:id="rId58" display="http://www.westlaw.com/Find/Default.wl?rs=dfa1.0&amp;vr=2.0&amp;DB=506&amp;FindType=Y&amp;SerialNum=2017262446"/>
    <hyperlink ref="A163" r:id="rId59" display="http://www.westlaw.com/Find/Default.wl?rs=dfa1.0&amp;vr=2.0&amp;DB=4637&amp;FindType=Y&amp;SerialNum=2019923678"/>
    <hyperlink ref="A164" r:id="rId60" display="http://www.westlaw.com/Find/Default.wl?rs=dfa1.0&amp;vr=2.0&amp;DB=26&amp;FindType=Y&amp;SerialNum=2019967392"/>
    <hyperlink ref="A165" r:id="rId61" display="http://www.westlaw.com/Find/Default.wl?rs=dfa1.0&amp;vr=2.0&amp;FindType=Y&amp;SerialNum=2019986731"/>
    <hyperlink ref="A166" r:id="rId62" display="http://www.westlaw.com/Find/Default.wl?rs=dfa1.0&amp;vr=2.0&amp;FindType=Y&amp;SerialNum=2020067917"/>
    <hyperlink ref="A167" r:id="rId63" display="http://www.westlaw.com/Find/Default.wl?rs=dfa1.0&amp;vr=2.0&amp;FindType=Y&amp;SerialNum=2020073367"/>
    <hyperlink ref="A168" r:id="rId64" display="http://www.westlaw.com/Find/Default.wl?rs=dfa1.0&amp;vr=2.0&amp;FindType=Y&amp;SerialNum=2019974404"/>
    <hyperlink ref="A169" r:id="rId65" display="http://www.westlaw.com/Find/Default.wl?rs=dfa1.0&amp;vr=2.0&amp;DB=4637&amp;FindType=Y&amp;SerialNum=2020070436"/>
    <hyperlink ref="A170" r:id="rId66" display="http://www.westlaw.com/Find/Default.wl?rs=dfa1.0&amp;vr=2.0&amp;DB=4637&amp;FindType=Y&amp;SerialNum=2019914646"/>
    <hyperlink ref="A171" r:id="rId67" display="http://www.westlaw.com/Find/Default.wl?rs=dfa1.0&amp;vr=2.0&amp;DB=4637&amp;FindType=Y&amp;SerialNum=2019870981"/>
    <hyperlink ref="A172" r:id="rId68" display="http://www.westlaw.com/Find/Default.wl?rs=dfa1.0&amp;vr=2.0&amp;FindType=Y&amp;SerialNum=2019825304"/>
    <hyperlink ref="A173" r:id="rId69" display="http://www.westlaw.com/Find/Default.wl?rs=dfa1.0&amp;vr=2.0&amp;DB=4637&amp;FindType=Y&amp;SerialNum=2020127004"/>
    <hyperlink ref="A174" r:id="rId70" display="http://www.westlaw.com/Find/Default.wl?rs=dfa1.0&amp;vr=2.0&amp;FindType=Y&amp;SerialNum=2019606724"/>
    <hyperlink ref="A175" r:id="rId71" display="http://www.westlaw.com/Find/Default.wl?rs=dfa1.0&amp;vr=2.0&amp;FindType=Y&amp;SerialNum=2020079845"/>
    <hyperlink ref="A176" r:id="rId72" display="http://www.westlaw.com/Find/Default.wl?rs=dfa1.0&amp;vr=2.0&amp;FindType=Y&amp;SerialNum=2019610440"/>
    <hyperlink ref="A177" r:id="rId73" display="http://www.westlaw.com/Find/Default.wl?rs=dfa1.0&amp;vr=2.0&amp;DB=4637&amp;FindType=Y&amp;SerialNum=2019560081"/>
    <hyperlink ref="A178" r:id="rId74" display="http://www.westlaw.com/Find/Default.wl?rs=dfa1.0&amp;vr=2.0&amp;FindType=Y&amp;SerialNum=2019560492"/>
    <hyperlink ref="A179" r:id="rId75" display="http://www.westlaw.com/Find/Default.wl?rs=dfa1.0&amp;vr=2.0&amp;FindType=Y&amp;SerialNum=2021142640"/>
    <hyperlink ref="A180" r:id="rId76" display="http://www.westlaw.com/Find/Default.wl?rs=dfa1.0&amp;vr=2.0&amp;DB=4637&amp;FindType=Y&amp;SerialNum=2019410352"/>
    <hyperlink ref="A181" r:id="rId77" display="http://www.westlaw.com/Find/Default.wl?rs=dfa1.0&amp;vr=2.0&amp;FindType=Y&amp;SerialNum=2019885808"/>
    <hyperlink ref="A182" r:id="rId78" display="http://www.westlaw.com/Find/Default.wl?rs=dfa1.0&amp;vr=2.0&amp;FindType=Y&amp;SerialNum=2019415085"/>
    <hyperlink ref="A183" r:id="rId79" display="http://www.westlaw.com/Find/Default.wl?rs=dfa1.0&amp;vr=2.0&amp;FindType=Y&amp;SerialNum=2019415227"/>
    <hyperlink ref="A184" r:id="rId80" display="http://www.westlaw.com/Find/Default.wl?rs=dfa1.0&amp;vr=2.0&amp;FindType=Y&amp;SerialNum=2019381166"/>
    <hyperlink ref="A185" r:id="rId81" display="http://www.westlaw.com/Find/Default.wl?rs=dfa1.0&amp;vr=2.0&amp;FindType=Y&amp;SerialNum=2019254788"/>
    <hyperlink ref="A186" r:id="rId82" display="http://www.westlaw.com/Find/Default.wl?rs=dfa1.0&amp;vr=2.0&amp;DB=164&amp;FindType=Y&amp;SerialNum=2019174489"/>
    <hyperlink ref="A187" r:id="rId83" display="http://www.westlaw.com/Find/Default.wl?rs=dfa1.0&amp;vr=2.0&amp;DB=4637&amp;FindType=Y&amp;SerialNum=2019228178"/>
    <hyperlink ref="A188" r:id="rId84" display="http://www.westlaw.com/Find/Default.wl?rs=dfa1.0&amp;vr=2.0&amp;FindType=Y&amp;SerialNum=2019085424"/>
    <hyperlink ref="A189" r:id="rId85" display="http://www.westlaw.com/Find/Default.wl?rs=dfa1.0&amp;vr=2.0&amp;DB=4637&amp;FindType=Y&amp;SerialNum=2018968162"/>
    <hyperlink ref="A190" r:id="rId86" display="http://www.westlaw.com/Find/Default.wl?rs=dfa1.0&amp;vr=2.0&amp;DB=4637&amp;FindType=Y&amp;SerialNum=2019075256"/>
    <hyperlink ref="A191" r:id="rId87" display="http://www.westlaw.com/Find/Default.wl?rs=dfa1.0&amp;vr=2.0&amp;DB=4637&amp;FindType=Y&amp;SerialNum=2018868635"/>
    <hyperlink ref="A192" r:id="rId88" display="http://www.westlaw.com/Find/Default.wl?rs=dfa1.0&amp;vr=2.0&amp;DB=4637&amp;FindType=Y&amp;SerialNum=2018816225"/>
    <hyperlink ref="A193" r:id="rId89" display="http://www.westlaw.com/Find/Default.wl?rs=dfa1.0&amp;vr=2.0&amp;DB=4637&amp;FindType=Y&amp;SerialNum=2018783409"/>
    <hyperlink ref="A194" r:id="rId90" display="http://www.westlaw.com/Find/Default.wl?rs=dfa1.0&amp;vr=2.0&amp;FindType=Y&amp;SerialNum=2019415128"/>
    <hyperlink ref="A195" r:id="rId91" display="http://www.westlaw.com/Find/Default.wl?rs=dfa1.0&amp;vr=2.0&amp;FindType=Y&amp;SerialNum=2018766259"/>
    <hyperlink ref="A196" r:id="rId92" display="http://www.westlaw.com/Find/Default.wl?rs=dfa1.0&amp;vr=2.0&amp;DB=4637&amp;FindType=Y&amp;SerialNum=2018728421"/>
    <hyperlink ref="A197" r:id="rId93" display="http://www.westlaw.com/Find/Default.wl?rs=dfa1.0&amp;vr=2.0&amp;DB=4637&amp;FindType=Y&amp;SerialNum=2018652647"/>
    <hyperlink ref="A198" r:id="rId94" display="http://www.westlaw.com/Find/Default.wl?rs=dfa1.0&amp;vr=2.0&amp;FindType=Y&amp;SerialNum=2018611596"/>
    <hyperlink ref="A199" r:id="rId95" display="http://www.westlaw.com/Find/Default.wl?rs=dfa1.0&amp;vr=2.0&amp;DB=913&amp;FindType=Y&amp;SerialNum=2018589817"/>
    <hyperlink ref="A200" r:id="rId96" display="http://www.westlaw.com/Find/Default.wl?rs=dfa1.0&amp;vr=2.0&amp;DB=4637&amp;FindType=Y&amp;SerialNum=2018560871"/>
    <hyperlink ref="A201" r:id="rId97" display="http://www.westlaw.com/Find/Default.wl?rs=dfa1.0&amp;vr=2.0&amp;FindType=Y&amp;SerialNum=2018883667"/>
    <hyperlink ref="A202" r:id="rId98" display="http://www.westlaw.com/Find/Default.wl?rs=dfa1.0&amp;vr=2.0&amp;FindType=Y&amp;SerialNum=2018536948"/>
    <hyperlink ref="A203" r:id="rId99" display="http://www.westlaw.com/Find/Default.wl?rs=dfa1.0&amp;vr=2.0&amp;FindType=Y&amp;SerialNum=2018561399"/>
    <hyperlink ref="A204" r:id="rId100" display="http://www.westlaw.com/Find/Default.wl?rs=dfa1.0&amp;vr=2.0&amp;DB=4637&amp;FindType=Y&amp;SerialNum=2018495141"/>
    <hyperlink ref="A205" r:id="rId101" display="http://www.westlaw.com/Find/Default.wl?rs=dfa1.0&amp;vr=2.0&amp;DB=4637&amp;FindType=Y&amp;SerialNum=2018517402"/>
    <hyperlink ref="A206" r:id="rId102" display="http://www.westlaw.com/Find/Default.wl?rs=dfa1.0&amp;vr=2.0&amp;FindType=Y&amp;SerialNum=2018529353"/>
    <hyperlink ref="A207" r:id="rId103" display="http://www.westlaw.com/Find/Default.wl?rs=dfa1.0&amp;vr=2.0&amp;DB=4637&amp;FindType=Y&amp;SerialNum=2020202118"/>
    <hyperlink ref="A208" r:id="rId104" display="http://www.westlaw.com/Find/Default.wl?rs=dfa1.0&amp;vr=2.0&amp;DB=4637&amp;FindType=Y&amp;SerialNum=2018485506"/>
    <hyperlink ref="A209" r:id="rId105" display="http://www.westlaw.com/Find/Default.wl?rs=dfa1.0&amp;vr=2.0&amp;DB=4637&amp;FindType=Y&amp;SerialNum=2018386727"/>
    <hyperlink ref="A210" r:id="rId106" display="http://www.westlaw.com/Find/Default.wl?rs=dfa1.0&amp;vr=2.0&amp;FindType=Y&amp;SerialNum=2018309577"/>
    <hyperlink ref="A211" r:id="rId107" display="http://www.westlaw.com/Find/Default.wl?rs=dfa1.0&amp;vr=2.0&amp;FindType=Y&amp;SerialNum=2018359422"/>
    <hyperlink ref="A212" r:id="rId108" display="http://www.westlaw.com/Find/Default.wl?rs=dfa1.0&amp;vr=2.0&amp;FindType=Y&amp;SerialNum=2018381519"/>
    <hyperlink ref="A213" r:id="rId109" display="http://www.westlaw.com/Find/Default.wl?rs=dfa1.0&amp;vr=2.0&amp;DB=4637&amp;FindType=Y&amp;SerialNum=2018296223"/>
    <hyperlink ref="A214" r:id="rId110" display="http://www.westlaw.com/Find/Default.wl?rs=dfa1.0&amp;vr=2.0&amp;FindType=Y&amp;SerialNum=2019467453"/>
    <hyperlink ref="A215" r:id="rId111" display="http://www.westlaw.com/Find/Default.wl?rs=dfa1.0&amp;vr=2.0&amp;FindType=Y&amp;SerialNum=2018295079"/>
    <hyperlink ref="A216" r:id="rId112" display="http://www.westlaw.com/Find/Default.wl?rs=dfa1.0&amp;vr=2.0&amp;FindType=Y&amp;SerialNum=2018268271"/>
    <hyperlink ref="A217" r:id="rId113" display="http://www.westlaw.com/Find/Default.wl?rs=dfa1.0&amp;vr=2.0&amp;FindType=Y&amp;SerialNum=2018284711"/>
    <hyperlink ref="A218" r:id="rId114" display="http://www.westlaw.com/Find/Default.wl?rs=dfa1.0&amp;vr=2.0&amp;FindType=Y&amp;SerialNum=2021073957"/>
    <hyperlink ref="A219" r:id="rId115" display="http://www.westlaw.com/Find/Default.wl?rs=dfa1.0&amp;vr=2.0&amp;FindType=Y&amp;SerialNum=2018232290"/>
    <hyperlink ref="A220" r:id="rId116" display="http://www.westlaw.com/Find/Default.wl?rs=dfa1.0&amp;vr=2.0&amp;DB=164&amp;FindType=Y&amp;SerialNum=2018151496"/>
    <hyperlink ref="A221" r:id="rId117" display="http://www.westlaw.com/Find/Default.wl?rs=dfa1.0&amp;vr=2.0&amp;FindType=Y&amp;SerialNum=2020554866"/>
    <hyperlink ref="A222" r:id="rId118" display="http://www.westlaw.com/Find/Default.wl?rs=dfa1.0&amp;vr=2.0&amp;DB=344&amp;FindType=Y&amp;SerialNum=2018076424"/>
    <hyperlink ref="A223" r:id="rId119" display="http://www.westlaw.com/Find/Default.wl?rs=dfa1.0&amp;vr=2.0&amp;FindType=Y&amp;SerialNum=2018075141"/>
    <hyperlink ref="A224" r:id="rId120" display="http://www.westlaw.com/Find/Default.wl?rs=dfa1.0&amp;vr=2.0&amp;DB=4637&amp;FindType=Y&amp;SerialNum=2017906370"/>
    <hyperlink ref="A225" r:id="rId121" display="http://www.westlaw.com/Find/Default.wl?rs=dfa1.0&amp;vr=2.0&amp;DB=1538&amp;FindType=Y&amp;SerialNum=2017907327"/>
    <hyperlink ref="A226" r:id="rId122" display="http://www.westlaw.com/Find/Default.wl?rs=dfa1.0&amp;vr=2.0&amp;DB=164&amp;FindType=Y&amp;SerialNum=2017922799"/>
    <hyperlink ref="A227" r:id="rId123" display="http://www.westlaw.com/Find/Default.wl?rs=dfa1.0&amp;vr=2.0&amp;FindType=Y&amp;SerialNum=2018120570"/>
    <hyperlink ref="A228" r:id="rId124" display="http://www.westlaw.com/Find/Default.wl?rs=dfa1.0&amp;vr=2.0&amp;FindType=Y&amp;SerialNum=2017864744"/>
    <hyperlink ref="A229" r:id="rId125" display="http://www.westlaw.com/Find/Default.wl?rs=dfa1.0&amp;vr=2.0&amp;DB=870&amp;FindType=Y&amp;SerialNum=2017806882"/>
    <hyperlink ref="A230" r:id="rId126" display="http://www.westlaw.com/Find/Default.wl?rs=dfa1.0&amp;vr=2.0&amp;DB=4637&amp;FindType=Y&amp;SerialNum=2017689281"/>
    <hyperlink ref="A231" r:id="rId127" display="http://www.westlaw.com/Find/Default.wl?rs=dfa1.0&amp;vr=2.0&amp;DB=4637&amp;FindType=Y&amp;SerialNum=2017677136"/>
    <hyperlink ref="A232" r:id="rId128" display="http://www.westlaw.com/Find/Default.wl?rs=dfa1.0&amp;vr=2.0&amp;DB=4637&amp;FindType=Y&amp;SerialNum=2017621773"/>
    <hyperlink ref="A233" r:id="rId129" display="http://www.westlaw.com/Find/Default.wl?rs=dfa1.0&amp;vr=2.0&amp;DB=4637&amp;FindType=Y&amp;SerialNum=2017491263"/>
    <hyperlink ref="A234" r:id="rId130" display="http://www.westlaw.com/Find/Default.wl?rs=dfa1.0&amp;vr=2.0&amp;DB=4637&amp;FindType=Y&amp;SerialNum=2017438555"/>
    <hyperlink ref="A235" r:id="rId131" display="http://www.westlaw.com/Find/Default.wl?rs=dfa1.0&amp;vr=2.0&amp;FindType=Y&amp;SerialNum=2017414629"/>
    <hyperlink ref="A236" r:id="rId132" display="http://www.westlaw.com/Find/Default.wl?rs=dfa1.0&amp;vr=2.0&amp;FindType=Y&amp;SerialNum=2018458611"/>
    <hyperlink ref="A237" r:id="rId133" display="http://www.westlaw.com/Find/Default.wl?rs=dfa1.0&amp;vr=2.0&amp;FindType=Y&amp;SerialNum=2017388151"/>
    <hyperlink ref="C98" r:id="rId134" display="http://www.supremecourt.gov/opinions/08pdf/07-9086.pdf"/>
    <hyperlink ref="C99" r:id="rId135" display="http://www.supremecourt.gov/opinions/08pdf/07-6309.pdf"/>
  </hyperlink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5"/>
  <sheetViews>
    <sheetView zoomScale="70" zoomScaleNormal="70" zoomScalePageLayoutView="70" workbookViewId="0"/>
  </sheetViews>
  <sheetFormatPr baseColWidth="10" defaultColWidth="8.83203125" defaultRowHeight="14" x14ac:dyDescent="0"/>
  <cols>
    <col min="1" max="1" width="14.5" bestFit="1" customWidth="1"/>
    <col min="2" max="2" width="44.5" customWidth="1"/>
    <col min="3" max="3" width="13" customWidth="1"/>
    <col min="4" max="4" width="15" customWidth="1"/>
    <col min="5" max="5" width="18" customWidth="1"/>
    <col min="6" max="6" width="21" customWidth="1"/>
    <col min="7" max="7" width="10" customWidth="1"/>
    <col min="8" max="8" width="13.5" bestFit="1" customWidth="1"/>
    <col min="9" max="9" width="9" customWidth="1"/>
    <col min="10" max="10" width="10" customWidth="1"/>
    <col min="11" max="11" width="35.83203125" customWidth="1"/>
    <col min="12" max="12" width="13" customWidth="1"/>
    <col min="13" max="14" width="10" customWidth="1"/>
    <col min="15" max="15" width="14" customWidth="1"/>
    <col min="16" max="16" width="12" customWidth="1"/>
    <col min="17" max="17" width="34.5" bestFit="1" customWidth="1"/>
    <col min="18" max="18" width="32" customWidth="1"/>
    <col min="19" max="19" width="10" customWidth="1"/>
  </cols>
  <sheetData>
    <row r="1" spans="1:21" ht="37">
      <c r="A1" s="3" t="s">
        <v>5</v>
      </c>
      <c r="B1" s="3" t="s">
        <v>977</v>
      </c>
      <c r="C1" s="3" t="s">
        <v>7</v>
      </c>
      <c r="D1" s="3" t="s">
        <v>8</v>
      </c>
      <c r="E1" s="3" t="s">
        <v>9</v>
      </c>
      <c r="F1" s="3" t="s">
        <v>10</v>
      </c>
      <c r="G1" s="3" t="s">
        <v>14</v>
      </c>
      <c r="H1" s="3" t="s">
        <v>15</v>
      </c>
      <c r="I1" s="3" t="s">
        <v>978</v>
      </c>
      <c r="J1" s="3" t="s">
        <v>11</v>
      </c>
      <c r="K1" s="3" t="s">
        <v>979</v>
      </c>
      <c r="L1" s="4" t="s">
        <v>980</v>
      </c>
    </row>
    <row r="2" spans="1:21">
      <c r="A2">
        <f>COUNTA(Q5:Q10)</f>
        <v>6</v>
      </c>
      <c r="B2">
        <f>COUNTA(U5)</f>
        <v>1</v>
      </c>
      <c r="C2">
        <f>COUNTA(T12)</f>
        <v>1</v>
      </c>
      <c r="E2">
        <f>COUNTA(Q23:Q32)</f>
        <v>10</v>
      </c>
      <c r="F2">
        <f>COUNTA(Q15:Q20)</f>
        <v>6</v>
      </c>
      <c r="G2">
        <f>COUNTA(D285)</f>
        <v>1</v>
      </c>
      <c r="I2">
        <f>COUNTA(B35:B86)</f>
        <v>52</v>
      </c>
      <c r="J2">
        <f>COUNTA(B89:B105)</f>
        <v>17</v>
      </c>
      <c r="K2">
        <v>0</v>
      </c>
      <c r="L2">
        <f>F282</f>
        <v>173</v>
      </c>
    </row>
    <row r="4" spans="1:21" ht="84">
      <c r="A4" s="37" t="s">
        <v>981</v>
      </c>
      <c r="B4" s="37" t="s">
        <v>982</v>
      </c>
      <c r="C4" s="38" t="s">
        <v>983</v>
      </c>
      <c r="D4" s="38" t="s">
        <v>984</v>
      </c>
      <c r="E4" s="38" t="s">
        <v>985</v>
      </c>
      <c r="F4" s="38" t="s">
        <v>986</v>
      </c>
      <c r="G4" s="37" t="s">
        <v>987</v>
      </c>
      <c r="H4" s="37" t="s">
        <v>988</v>
      </c>
      <c r="I4" s="38" t="s">
        <v>989</v>
      </c>
      <c r="J4" s="38" t="s">
        <v>990</v>
      </c>
      <c r="K4" s="38" t="s">
        <v>991</v>
      </c>
      <c r="L4" s="37" t="s">
        <v>992</v>
      </c>
      <c r="M4" s="37" t="s">
        <v>993</v>
      </c>
      <c r="N4" s="37" t="s">
        <v>994</v>
      </c>
      <c r="O4" s="37" t="s">
        <v>995</v>
      </c>
      <c r="P4" s="38" t="s">
        <v>996</v>
      </c>
      <c r="Q4" s="37" t="s">
        <v>997</v>
      </c>
      <c r="R4" s="37" t="s">
        <v>998</v>
      </c>
      <c r="S4" s="37" t="s">
        <v>999</v>
      </c>
      <c r="T4" s="37" t="s">
        <v>1000</v>
      </c>
      <c r="U4" s="37" t="s">
        <v>1001</v>
      </c>
    </row>
    <row r="5" spans="1:21">
      <c r="A5" s="39">
        <v>40239</v>
      </c>
      <c r="B5">
        <v>1</v>
      </c>
      <c r="D5" s="40" t="s">
        <v>1002</v>
      </c>
      <c r="E5" s="40" t="s">
        <v>1003</v>
      </c>
      <c r="F5" s="40" t="s">
        <v>1004</v>
      </c>
      <c r="G5">
        <v>2009</v>
      </c>
      <c r="H5">
        <v>1703</v>
      </c>
      <c r="I5" s="40" t="s">
        <v>1005</v>
      </c>
      <c r="J5" s="40" t="s">
        <v>1006</v>
      </c>
      <c r="K5" s="40" t="s">
        <v>1007</v>
      </c>
      <c r="L5" s="39">
        <v>40197</v>
      </c>
      <c r="M5">
        <v>9</v>
      </c>
      <c r="N5">
        <v>0</v>
      </c>
      <c r="O5">
        <v>111</v>
      </c>
      <c r="P5" s="40" t="s">
        <v>1008</v>
      </c>
      <c r="Q5">
        <v>1</v>
      </c>
      <c r="R5">
        <v>2</v>
      </c>
      <c r="S5">
        <v>2</v>
      </c>
      <c r="T5" t="s">
        <v>1009</v>
      </c>
      <c r="U5" t="s">
        <v>1010</v>
      </c>
    </row>
    <row r="6" spans="1:21">
      <c r="A6" s="39">
        <v>40267</v>
      </c>
      <c r="B6">
        <v>1</v>
      </c>
      <c r="D6" s="40" t="s">
        <v>1011</v>
      </c>
      <c r="E6" s="40" t="s">
        <v>1012</v>
      </c>
      <c r="F6" s="40" t="s">
        <v>1013</v>
      </c>
      <c r="G6">
        <v>2009</v>
      </c>
      <c r="H6">
        <v>1703</v>
      </c>
      <c r="I6" s="40" t="s">
        <v>1005</v>
      </c>
      <c r="J6" s="40" t="s">
        <v>1014</v>
      </c>
      <c r="K6" s="40" t="s">
        <v>1015</v>
      </c>
      <c r="L6" s="39">
        <v>40119</v>
      </c>
      <c r="M6">
        <v>9</v>
      </c>
      <c r="N6">
        <v>0</v>
      </c>
      <c r="O6">
        <v>111</v>
      </c>
      <c r="P6" s="40" t="s">
        <v>1008</v>
      </c>
      <c r="Q6">
        <v>1</v>
      </c>
      <c r="R6">
        <v>2</v>
      </c>
      <c r="S6">
        <v>2</v>
      </c>
      <c r="T6" t="s">
        <v>1009</v>
      </c>
      <c r="U6" t="s">
        <v>1009</v>
      </c>
    </row>
    <row r="7" spans="1:21">
      <c r="A7" s="39">
        <v>40295</v>
      </c>
      <c r="B7">
        <v>1</v>
      </c>
      <c r="D7" s="40" t="s">
        <v>1016</v>
      </c>
      <c r="E7" s="40" t="s">
        <v>1017</v>
      </c>
      <c r="F7" s="40" t="s">
        <v>1018</v>
      </c>
      <c r="G7">
        <v>2009</v>
      </c>
      <c r="H7">
        <v>1703</v>
      </c>
      <c r="I7" s="40" t="s">
        <v>1005</v>
      </c>
      <c r="J7" s="40" t="s">
        <v>1019</v>
      </c>
      <c r="K7" s="40" t="s">
        <v>1020</v>
      </c>
      <c r="L7" s="39">
        <v>40156</v>
      </c>
      <c r="M7">
        <v>5</v>
      </c>
      <c r="N7">
        <v>3</v>
      </c>
      <c r="O7">
        <v>111</v>
      </c>
      <c r="P7" s="40" t="s">
        <v>1008</v>
      </c>
      <c r="Q7">
        <v>1</v>
      </c>
      <c r="R7">
        <v>2</v>
      </c>
      <c r="S7">
        <v>2</v>
      </c>
      <c r="T7" t="s">
        <v>1009</v>
      </c>
      <c r="U7" t="s">
        <v>1009</v>
      </c>
    </row>
    <row r="8" spans="1:21">
      <c r="A8" s="39">
        <v>40289</v>
      </c>
      <c r="B8">
        <v>1</v>
      </c>
      <c r="D8" s="40" t="s">
        <v>1021</v>
      </c>
      <c r="E8" s="40" t="s">
        <v>1022</v>
      </c>
      <c r="F8" s="40" t="s">
        <v>1023</v>
      </c>
      <c r="G8">
        <v>2009</v>
      </c>
      <c r="H8">
        <v>1703</v>
      </c>
      <c r="I8" s="40" t="s">
        <v>1005</v>
      </c>
      <c r="J8" s="40" t="s">
        <v>1024</v>
      </c>
      <c r="K8" s="40" t="s">
        <v>1025</v>
      </c>
      <c r="L8" s="39">
        <v>40100</v>
      </c>
      <c r="M8">
        <v>5</v>
      </c>
      <c r="N8">
        <v>4</v>
      </c>
      <c r="O8">
        <v>111</v>
      </c>
      <c r="P8" s="40" t="s">
        <v>1008</v>
      </c>
      <c r="Q8">
        <v>1</v>
      </c>
      <c r="R8">
        <v>2</v>
      </c>
      <c r="S8">
        <v>2</v>
      </c>
      <c r="T8" t="s">
        <v>1009</v>
      </c>
      <c r="U8" t="s">
        <v>1009</v>
      </c>
    </row>
    <row r="9" spans="1:21">
      <c r="A9" s="39">
        <v>40336</v>
      </c>
      <c r="B9">
        <v>1</v>
      </c>
      <c r="D9" s="40" t="s">
        <v>1026</v>
      </c>
      <c r="E9" s="40" t="s">
        <v>1027</v>
      </c>
      <c r="F9" s="40" t="s">
        <v>1028</v>
      </c>
      <c r="G9">
        <v>2009</v>
      </c>
      <c r="H9">
        <v>1703</v>
      </c>
      <c r="I9" s="40" t="s">
        <v>1005</v>
      </c>
      <c r="J9" s="40" t="s">
        <v>1029</v>
      </c>
      <c r="K9" s="40" t="s">
        <v>1030</v>
      </c>
      <c r="L9" s="39">
        <v>40259</v>
      </c>
      <c r="M9">
        <v>8</v>
      </c>
      <c r="N9">
        <v>1</v>
      </c>
      <c r="O9">
        <v>111</v>
      </c>
      <c r="P9" s="40" t="s">
        <v>1008</v>
      </c>
      <c r="Q9">
        <v>1</v>
      </c>
      <c r="R9">
        <v>2</v>
      </c>
      <c r="S9">
        <v>2</v>
      </c>
      <c r="T9" t="s">
        <v>1009</v>
      </c>
      <c r="U9" t="s">
        <v>1009</v>
      </c>
    </row>
    <row r="10" spans="1:21">
      <c r="A10" s="39">
        <v>40350</v>
      </c>
      <c r="B10">
        <v>1</v>
      </c>
      <c r="D10" s="40" t="s">
        <v>1031</v>
      </c>
      <c r="E10" s="40" t="s">
        <v>1032</v>
      </c>
      <c r="F10" s="40" t="s">
        <v>1033</v>
      </c>
      <c r="G10">
        <v>2009</v>
      </c>
      <c r="H10">
        <v>1703</v>
      </c>
      <c r="I10" s="40" t="s">
        <v>1005</v>
      </c>
      <c r="J10" s="40" t="s">
        <v>1034</v>
      </c>
      <c r="K10" s="40" t="s">
        <v>1035</v>
      </c>
      <c r="L10" s="39">
        <v>40295</v>
      </c>
      <c r="M10">
        <v>7</v>
      </c>
      <c r="N10">
        <v>1</v>
      </c>
      <c r="O10">
        <v>111</v>
      </c>
      <c r="P10" s="40" t="s">
        <v>1008</v>
      </c>
      <c r="Q10">
        <v>1</v>
      </c>
      <c r="R10">
        <v>2</v>
      </c>
      <c r="S10">
        <v>2</v>
      </c>
      <c r="T10" t="s">
        <v>1009</v>
      </c>
      <c r="U10" t="s">
        <v>1009</v>
      </c>
    </row>
    <row r="11" spans="1:21">
      <c r="A11" s="39"/>
      <c r="D11" s="40"/>
      <c r="E11" s="40"/>
      <c r="F11" s="40"/>
      <c r="I11" s="40"/>
      <c r="J11" s="40"/>
      <c r="K11" s="40"/>
      <c r="L11" s="39"/>
      <c r="P11" s="40"/>
    </row>
    <row r="12" spans="1:21">
      <c r="A12" s="39">
        <v>40357</v>
      </c>
      <c r="B12">
        <v>1</v>
      </c>
      <c r="D12" s="40" t="s">
        <v>1036</v>
      </c>
      <c r="E12" s="40" t="s">
        <v>1037</v>
      </c>
      <c r="F12" s="40" t="s">
        <v>1038</v>
      </c>
      <c r="G12">
        <v>2009</v>
      </c>
      <c r="H12">
        <v>1703</v>
      </c>
      <c r="I12" s="40" t="s">
        <v>1005</v>
      </c>
      <c r="J12" s="40" t="s">
        <v>1039</v>
      </c>
      <c r="K12" s="40" t="s">
        <v>1040</v>
      </c>
      <c r="L12" s="39">
        <v>40239</v>
      </c>
      <c r="M12">
        <v>5</v>
      </c>
      <c r="N12">
        <v>4</v>
      </c>
      <c r="O12">
        <v>111</v>
      </c>
      <c r="P12" s="40" t="s">
        <v>1008</v>
      </c>
      <c r="Q12">
        <v>1</v>
      </c>
      <c r="R12">
        <v>2</v>
      </c>
      <c r="S12">
        <v>2</v>
      </c>
      <c r="T12" t="s">
        <v>1010</v>
      </c>
      <c r="U12" t="s">
        <v>1009</v>
      </c>
    </row>
    <row r="13" spans="1:21">
      <c r="A13" s="39"/>
      <c r="D13" s="40"/>
      <c r="E13" s="40"/>
      <c r="F13" s="40"/>
      <c r="I13" s="40"/>
      <c r="J13" s="40"/>
      <c r="K13" s="40"/>
      <c r="L13" s="39"/>
      <c r="P13" s="40"/>
    </row>
    <row r="14" spans="1:21">
      <c r="A14" s="39"/>
      <c r="D14" s="40"/>
      <c r="E14" s="40"/>
      <c r="F14" s="40"/>
      <c r="I14" s="40"/>
      <c r="J14" s="40"/>
      <c r="K14" s="40"/>
      <c r="L14" s="39"/>
      <c r="P14" s="40"/>
    </row>
    <row r="15" spans="1:21">
      <c r="A15" s="39">
        <v>40197</v>
      </c>
      <c r="B15">
        <v>2</v>
      </c>
      <c r="D15" s="40" t="s">
        <v>1041</v>
      </c>
      <c r="E15" s="40" t="s">
        <v>1042</v>
      </c>
      <c r="F15" s="40" t="s">
        <v>1043</v>
      </c>
      <c r="G15">
        <v>2009</v>
      </c>
      <c r="H15">
        <v>1703</v>
      </c>
      <c r="I15" s="40" t="s">
        <v>1005</v>
      </c>
      <c r="J15" s="40" t="s">
        <v>1044</v>
      </c>
      <c r="K15" s="40" t="s">
        <v>1045</v>
      </c>
      <c r="M15">
        <v>5</v>
      </c>
      <c r="N15">
        <v>4</v>
      </c>
      <c r="O15">
        <v>111</v>
      </c>
      <c r="P15" s="40" t="s">
        <v>1008</v>
      </c>
      <c r="Q15">
        <v>2</v>
      </c>
      <c r="R15">
        <v>2</v>
      </c>
      <c r="S15">
        <v>1</v>
      </c>
    </row>
    <row r="16" spans="1:21">
      <c r="A16" s="39">
        <v>40239</v>
      </c>
      <c r="B16">
        <v>1</v>
      </c>
      <c r="D16" s="40" t="s">
        <v>1046</v>
      </c>
      <c r="E16" s="40" t="s">
        <v>1047</v>
      </c>
      <c r="F16" s="40" t="s">
        <v>1048</v>
      </c>
      <c r="G16">
        <v>2009</v>
      </c>
      <c r="H16">
        <v>1703</v>
      </c>
      <c r="I16" s="40" t="s">
        <v>1005</v>
      </c>
      <c r="J16" s="40" t="s">
        <v>1049</v>
      </c>
      <c r="K16" s="40" t="s">
        <v>1050</v>
      </c>
      <c r="L16" s="39">
        <v>40092</v>
      </c>
      <c r="M16">
        <v>7</v>
      </c>
      <c r="N16">
        <v>2</v>
      </c>
      <c r="O16">
        <v>111</v>
      </c>
      <c r="P16" s="40" t="s">
        <v>1008</v>
      </c>
      <c r="Q16">
        <v>2</v>
      </c>
      <c r="R16">
        <v>2</v>
      </c>
      <c r="S16">
        <v>1</v>
      </c>
    </row>
    <row r="17" spans="1:19">
      <c r="A17" s="39">
        <v>40245</v>
      </c>
      <c r="B17">
        <v>1</v>
      </c>
      <c r="D17" s="40" t="s">
        <v>1051</v>
      </c>
      <c r="E17" s="40" t="s">
        <v>1052</v>
      </c>
      <c r="F17" s="40" t="s">
        <v>1053</v>
      </c>
      <c r="G17">
        <v>2009</v>
      </c>
      <c r="H17">
        <v>1703</v>
      </c>
      <c r="I17" s="40" t="s">
        <v>1005</v>
      </c>
      <c r="J17" s="40" t="s">
        <v>1054</v>
      </c>
      <c r="K17" s="40" t="s">
        <v>1055</v>
      </c>
      <c r="L17" s="39">
        <v>40092</v>
      </c>
      <c r="M17">
        <v>7</v>
      </c>
      <c r="N17">
        <v>2</v>
      </c>
      <c r="O17">
        <v>111</v>
      </c>
      <c r="P17" s="40" t="s">
        <v>1008</v>
      </c>
      <c r="Q17">
        <v>2</v>
      </c>
      <c r="R17">
        <v>2</v>
      </c>
      <c r="S17">
        <v>1</v>
      </c>
    </row>
    <row r="18" spans="1:19">
      <c r="A18" s="39">
        <v>40288</v>
      </c>
      <c r="B18">
        <v>1</v>
      </c>
      <c r="D18" s="40" t="s">
        <v>1056</v>
      </c>
      <c r="E18" s="40" t="s">
        <v>1057</v>
      </c>
      <c r="F18" s="40" t="s">
        <v>1058</v>
      </c>
      <c r="G18">
        <v>2009</v>
      </c>
      <c r="H18">
        <v>1703</v>
      </c>
      <c r="I18" s="40" t="s">
        <v>1005</v>
      </c>
      <c r="J18" s="40" t="s">
        <v>1059</v>
      </c>
      <c r="K18" s="40" t="s">
        <v>1060</v>
      </c>
      <c r="L18" s="39">
        <v>40092</v>
      </c>
      <c r="M18">
        <v>8</v>
      </c>
      <c r="N18">
        <v>1</v>
      </c>
      <c r="O18">
        <v>111</v>
      </c>
      <c r="P18" s="40" t="s">
        <v>1008</v>
      </c>
      <c r="Q18">
        <v>2</v>
      </c>
      <c r="R18">
        <v>2</v>
      </c>
      <c r="S18">
        <v>1</v>
      </c>
    </row>
    <row r="19" spans="1:19">
      <c r="A19" s="39">
        <v>40330</v>
      </c>
      <c r="B19">
        <v>1</v>
      </c>
      <c r="D19" s="40" t="s">
        <v>1061</v>
      </c>
      <c r="E19" s="40" t="s">
        <v>1062</v>
      </c>
      <c r="F19" s="40" t="s">
        <v>1063</v>
      </c>
      <c r="G19">
        <v>2009</v>
      </c>
      <c r="H19">
        <v>1703</v>
      </c>
      <c r="I19" s="40" t="s">
        <v>1005</v>
      </c>
      <c r="J19" s="40" t="s">
        <v>1064</v>
      </c>
      <c r="K19" s="40" t="s">
        <v>1065</v>
      </c>
      <c r="L19" s="39">
        <v>40233</v>
      </c>
      <c r="M19">
        <v>6</v>
      </c>
      <c r="N19">
        <v>3</v>
      </c>
      <c r="O19">
        <v>111</v>
      </c>
      <c r="P19" s="40" t="s">
        <v>1008</v>
      </c>
      <c r="Q19">
        <v>2</v>
      </c>
      <c r="R19">
        <v>2</v>
      </c>
      <c r="S19">
        <v>1</v>
      </c>
    </row>
    <row r="20" spans="1:19">
      <c r="A20" s="39">
        <v>40357</v>
      </c>
      <c r="B20">
        <v>1</v>
      </c>
      <c r="D20" s="40" t="s">
        <v>1066</v>
      </c>
      <c r="E20" s="40" t="s">
        <v>1067</v>
      </c>
      <c r="F20" s="40" t="s">
        <v>1068</v>
      </c>
      <c r="G20">
        <v>2009</v>
      </c>
      <c r="H20">
        <v>1703</v>
      </c>
      <c r="I20" s="40" t="s">
        <v>1005</v>
      </c>
      <c r="J20" s="40" t="s">
        <v>1069</v>
      </c>
      <c r="K20" s="40" t="s">
        <v>1070</v>
      </c>
      <c r="L20" s="39">
        <v>40287</v>
      </c>
      <c r="M20">
        <v>5</v>
      </c>
      <c r="N20">
        <v>4</v>
      </c>
      <c r="O20">
        <v>111</v>
      </c>
      <c r="P20" s="40" t="s">
        <v>1008</v>
      </c>
      <c r="Q20">
        <v>2</v>
      </c>
      <c r="R20">
        <v>2</v>
      </c>
      <c r="S20">
        <v>1</v>
      </c>
    </row>
    <row r="21" spans="1:19">
      <c r="A21" s="39"/>
      <c r="D21" s="40"/>
      <c r="E21" s="40"/>
      <c r="F21" s="40"/>
      <c r="I21" s="40"/>
      <c r="J21" s="40"/>
      <c r="K21" s="40"/>
      <c r="L21" s="39"/>
      <c r="P21" s="40"/>
    </row>
    <row r="22" spans="1:19">
      <c r="A22" s="39"/>
      <c r="D22" s="40"/>
      <c r="E22" s="40"/>
      <c r="F22" s="40"/>
      <c r="I22" s="40"/>
      <c r="J22" s="40"/>
      <c r="K22" s="40"/>
      <c r="L22" s="39"/>
      <c r="P22" s="40"/>
    </row>
    <row r="23" spans="1:19">
      <c r="A23" s="39">
        <v>40126</v>
      </c>
      <c r="B23">
        <v>2</v>
      </c>
      <c r="D23" s="40" t="s">
        <v>1071</v>
      </c>
      <c r="E23" s="40" t="s">
        <v>1072</v>
      </c>
      <c r="F23" s="40" t="s">
        <v>1073</v>
      </c>
      <c r="G23">
        <v>2009</v>
      </c>
      <c r="H23">
        <v>1703</v>
      </c>
      <c r="I23" s="40" t="s">
        <v>1005</v>
      </c>
      <c r="J23" s="40" t="s">
        <v>1074</v>
      </c>
      <c r="K23" s="40" t="s">
        <v>1075</v>
      </c>
      <c r="M23">
        <v>9</v>
      </c>
      <c r="N23">
        <v>0</v>
      </c>
      <c r="O23">
        <v>111</v>
      </c>
      <c r="P23" s="40" t="s">
        <v>1008</v>
      </c>
      <c r="Q23">
        <v>3</v>
      </c>
      <c r="R23">
        <v>2</v>
      </c>
      <c r="S23">
        <v>2</v>
      </c>
    </row>
    <row r="24" spans="1:19">
      <c r="A24" s="39">
        <v>40296</v>
      </c>
      <c r="B24">
        <v>1</v>
      </c>
      <c r="D24" s="40" t="s">
        <v>1076</v>
      </c>
      <c r="E24" s="40" t="s">
        <v>1077</v>
      </c>
      <c r="F24" s="40" t="s">
        <v>1078</v>
      </c>
      <c r="G24">
        <v>2009</v>
      </c>
      <c r="H24">
        <v>1703</v>
      </c>
      <c r="I24" s="40" t="s">
        <v>1005</v>
      </c>
      <c r="J24" s="40" t="s">
        <v>1079</v>
      </c>
      <c r="K24" s="40" t="s">
        <v>1080</v>
      </c>
      <c r="L24" s="39">
        <v>40093</v>
      </c>
      <c r="M24">
        <v>5</v>
      </c>
      <c r="N24">
        <v>4</v>
      </c>
      <c r="O24">
        <v>111</v>
      </c>
      <c r="P24" s="40" t="s">
        <v>1008</v>
      </c>
      <c r="Q24">
        <v>3</v>
      </c>
      <c r="R24">
        <v>2</v>
      </c>
      <c r="S24">
        <v>2</v>
      </c>
    </row>
    <row r="25" spans="1:19">
      <c r="A25" s="39">
        <v>40330</v>
      </c>
      <c r="B25">
        <v>1</v>
      </c>
      <c r="D25" s="40" t="s">
        <v>1081</v>
      </c>
      <c r="E25" s="40" t="s">
        <v>1082</v>
      </c>
      <c r="F25" s="40" t="s">
        <v>1083</v>
      </c>
      <c r="G25">
        <v>2009</v>
      </c>
      <c r="H25">
        <v>1703</v>
      </c>
      <c r="I25" s="40" t="s">
        <v>1005</v>
      </c>
      <c r="J25" s="40" t="s">
        <v>1084</v>
      </c>
      <c r="K25" s="40" t="s">
        <v>1085</v>
      </c>
      <c r="L25" s="39">
        <v>40240</v>
      </c>
      <c r="M25">
        <v>9</v>
      </c>
      <c r="N25">
        <v>0</v>
      </c>
      <c r="O25">
        <v>111</v>
      </c>
      <c r="P25" s="40" t="s">
        <v>1008</v>
      </c>
      <c r="Q25">
        <v>3</v>
      </c>
      <c r="R25">
        <v>2</v>
      </c>
      <c r="S25">
        <v>2</v>
      </c>
    </row>
    <row r="26" spans="1:19">
      <c r="A26" s="39">
        <v>40353</v>
      </c>
      <c r="B26">
        <v>1</v>
      </c>
      <c r="D26" s="40" t="s">
        <v>1086</v>
      </c>
      <c r="E26" s="40" t="s">
        <v>1087</v>
      </c>
      <c r="F26" s="40" t="s">
        <v>1088</v>
      </c>
      <c r="G26">
        <v>2009</v>
      </c>
      <c r="H26">
        <v>1703</v>
      </c>
      <c r="I26" s="40" t="s">
        <v>1005</v>
      </c>
      <c r="J26" s="40" t="s">
        <v>1089</v>
      </c>
      <c r="K26" s="40" t="s">
        <v>1090</v>
      </c>
      <c r="L26" s="39">
        <v>40296</v>
      </c>
      <c r="M26">
        <v>8</v>
      </c>
      <c r="N26">
        <v>1</v>
      </c>
      <c r="O26">
        <v>111</v>
      </c>
      <c r="P26" s="40" t="s">
        <v>1008</v>
      </c>
      <c r="Q26">
        <v>3</v>
      </c>
      <c r="R26">
        <v>2</v>
      </c>
      <c r="S26">
        <v>2</v>
      </c>
    </row>
    <row r="27" spans="1:19">
      <c r="A27" s="39">
        <v>40198</v>
      </c>
      <c r="B27">
        <v>1</v>
      </c>
      <c r="D27" s="40" t="s">
        <v>1091</v>
      </c>
      <c r="E27" s="40" t="s">
        <v>1092</v>
      </c>
      <c r="F27" s="40" t="s">
        <v>1093</v>
      </c>
      <c r="G27">
        <v>2009</v>
      </c>
      <c r="H27">
        <v>1703</v>
      </c>
      <c r="I27" s="40" t="s">
        <v>1005</v>
      </c>
      <c r="J27" s="40" t="s">
        <v>1094</v>
      </c>
      <c r="K27" s="40" t="s">
        <v>1095</v>
      </c>
      <c r="L27" s="39">
        <v>40127</v>
      </c>
      <c r="M27">
        <v>9</v>
      </c>
      <c r="N27">
        <v>0</v>
      </c>
      <c r="O27">
        <v>111</v>
      </c>
      <c r="P27" s="40" t="s">
        <v>1008</v>
      </c>
      <c r="Q27">
        <v>4</v>
      </c>
      <c r="R27">
        <v>2</v>
      </c>
      <c r="S27">
        <v>2</v>
      </c>
    </row>
    <row r="28" spans="1:19">
      <c r="A28" s="39">
        <v>40268</v>
      </c>
      <c r="B28">
        <v>1</v>
      </c>
      <c r="D28" s="40" t="s">
        <v>1096</v>
      </c>
      <c r="E28" s="40" t="s">
        <v>1097</v>
      </c>
      <c r="F28" s="40" t="s">
        <v>1098</v>
      </c>
      <c r="G28">
        <v>2009</v>
      </c>
      <c r="H28">
        <v>1703</v>
      </c>
      <c r="I28" s="40" t="s">
        <v>1005</v>
      </c>
      <c r="J28" s="40" t="s">
        <v>1099</v>
      </c>
      <c r="K28" s="40" t="s">
        <v>1100</v>
      </c>
      <c r="L28" s="39">
        <v>40099</v>
      </c>
      <c r="M28">
        <v>7</v>
      </c>
      <c r="N28">
        <v>2</v>
      </c>
      <c r="O28">
        <v>111</v>
      </c>
      <c r="P28" s="40" t="s">
        <v>1008</v>
      </c>
      <c r="Q28">
        <v>4</v>
      </c>
      <c r="R28">
        <v>2</v>
      </c>
      <c r="S28">
        <v>2</v>
      </c>
    </row>
    <row r="29" spans="1:19">
      <c r="A29" s="39">
        <v>40315</v>
      </c>
      <c r="B29">
        <v>1</v>
      </c>
      <c r="D29" s="40" t="s">
        <v>1101</v>
      </c>
      <c r="E29" s="40" t="s">
        <v>1102</v>
      </c>
      <c r="F29" s="40" t="s">
        <v>1103</v>
      </c>
      <c r="G29">
        <v>2009</v>
      </c>
      <c r="H29">
        <v>1703</v>
      </c>
      <c r="I29" s="40" t="s">
        <v>1005</v>
      </c>
      <c r="J29" s="40" t="s">
        <v>1104</v>
      </c>
      <c r="K29" s="40" t="s">
        <v>1105</v>
      </c>
      <c r="L29" s="39">
        <v>40190</v>
      </c>
      <c r="M29">
        <v>7</v>
      </c>
      <c r="N29">
        <v>2</v>
      </c>
      <c r="O29">
        <v>111</v>
      </c>
      <c r="P29" s="40" t="s">
        <v>1008</v>
      </c>
      <c r="Q29">
        <v>4</v>
      </c>
      <c r="R29">
        <v>2</v>
      </c>
      <c r="S29">
        <v>2</v>
      </c>
    </row>
    <row r="30" spans="1:19">
      <c r="A30" s="39">
        <v>40330</v>
      </c>
      <c r="B30">
        <v>1</v>
      </c>
      <c r="D30" s="40" t="s">
        <v>1106</v>
      </c>
      <c r="E30" s="40" t="s">
        <v>1107</v>
      </c>
      <c r="F30" s="40" t="s">
        <v>1108</v>
      </c>
      <c r="G30">
        <v>2009</v>
      </c>
      <c r="H30">
        <v>1703</v>
      </c>
      <c r="I30" s="40" t="s">
        <v>1005</v>
      </c>
      <c r="J30" s="40" t="s">
        <v>1109</v>
      </c>
      <c r="K30" s="40" t="s">
        <v>1110</v>
      </c>
      <c r="L30" s="39">
        <v>40259</v>
      </c>
      <c r="M30">
        <v>9</v>
      </c>
      <c r="N30">
        <v>0</v>
      </c>
      <c r="O30">
        <v>111</v>
      </c>
      <c r="P30" s="40" t="s">
        <v>1008</v>
      </c>
      <c r="Q30">
        <v>4</v>
      </c>
      <c r="R30">
        <v>2</v>
      </c>
      <c r="S30">
        <v>2</v>
      </c>
    </row>
    <row r="31" spans="1:19">
      <c r="A31" s="39">
        <v>40343</v>
      </c>
      <c r="B31">
        <v>1</v>
      </c>
      <c r="D31" s="40" t="s">
        <v>1111</v>
      </c>
      <c r="E31" s="40" t="s">
        <v>1112</v>
      </c>
      <c r="F31" s="40" t="s">
        <v>1113</v>
      </c>
      <c r="G31">
        <v>2009</v>
      </c>
      <c r="H31">
        <v>1703</v>
      </c>
      <c r="I31" s="40" t="s">
        <v>1005</v>
      </c>
      <c r="J31" s="40" t="s">
        <v>1114</v>
      </c>
      <c r="K31" s="40" t="s">
        <v>1115</v>
      </c>
      <c r="L31" s="39">
        <v>40238</v>
      </c>
      <c r="M31">
        <v>7</v>
      </c>
      <c r="N31">
        <v>2</v>
      </c>
      <c r="O31">
        <v>111</v>
      </c>
      <c r="P31" s="40" t="s">
        <v>1008</v>
      </c>
      <c r="Q31">
        <v>4</v>
      </c>
      <c r="R31">
        <v>2</v>
      </c>
      <c r="S31">
        <v>2</v>
      </c>
    </row>
    <row r="32" spans="1:19">
      <c r="A32" s="39">
        <v>40353</v>
      </c>
      <c r="B32">
        <v>1</v>
      </c>
      <c r="D32" s="40" t="s">
        <v>1116</v>
      </c>
      <c r="E32" s="40" t="s">
        <v>1117</v>
      </c>
      <c r="F32" s="40" t="s">
        <v>1118</v>
      </c>
      <c r="G32">
        <v>2009</v>
      </c>
      <c r="H32">
        <v>1703</v>
      </c>
      <c r="I32" s="40" t="s">
        <v>1005</v>
      </c>
      <c r="J32" s="40" t="s">
        <v>1119</v>
      </c>
      <c r="K32" s="40" t="s">
        <v>1120</v>
      </c>
      <c r="L32" s="39">
        <v>40238</v>
      </c>
      <c r="M32">
        <v>9</v>
      </c>
      <c r="N32">
        <v>0</v>
      </c>
      <c r="O32">
        <v>111</v>
      </c>
      <c r="P32" s="40" t="s">
        <v>1008</v>
      </c>
      <c r="Q32">
        <v>4</v>
      </c>
      <c r="R32">
        <v>2</v>
      </c>
      <c r="S32">
        <v>2</v>
      </c>
    </row>
    <row r="33" spans="1:19">
      <c r="A33" s="39"/>
      <c r="D33" s="40"/>
      <c r="E33" s="40"/>
      <c r="F33" s="40"/>
      <c r="I33" s="40"/>
      <c r="J33" s="40"/>
      <c r="K33" s="40"/>
      <c r="L33" s="39"/>
      <c r="P33" s="40"/>
    </row>
    <row r="34" spans="1:19">
      <c r="A34" s="39"/>
      <c r="D34" s="40"/>
      <c r="E34" s="40"/>
      <c r="F34" s="40"/>
      <c r="I34" s="40"/>
      <c r="J34" s="40"/>
      <c r="K34" s="40"/>
      <c r="L34" s="39"/>
      <c r="P34" s="40"/>
    </row>
    <row r="35" spans="1:19">
      <c r="A35" s="39">
        <v>40155</v>
      </c>
      <c r="B35">
        <v>1</v>
      </c>
      <c r="D35" s="40" t="s">
        <v>1121</v>
      </c>
      <c r="E35" s="40" t="s">
        <v>1122</v>
      </c>
      <c r="F35" s="40" t="s">
        <v>1123</v>
      </c>
      <c r="G35">
        <v>2009</v>
      </c>
      <c r="H35">
        <v>1703</v>
      </c>
      <c r="I35" s="40" t="s">
        <v>1005</v>
      </c>
      <c r="J35" s="40" t="s">
        <v>1124</v>
      </c>
      <c r="K35" s="40" t="s">
        <v>1125</v>
      </c>
      <c r="L35" s="39">
        <v>40091</v>
      </c>
      <c r="M35">
        <v>9</v>
      </c>
      <c r="N35">
        <v>0</v>
      </c>
      <c r="O35">
        <v>111</v>
      </c>
      <c r="P35" s="40" t="s">
        <v>1008</v>
      </c>
      <c r="Q35">
        <v>1</v>
      </c>
      <c r="R35">
        <v>1</v>
      </c>
      <c r="S35">
        <v>2</v>
      </c>
    </row>
    <row r="36" spans="1:19">
      <c r="A36" s="39">
        <v>40155</v>
      </c>
      <c r="B36">
        <v>1</v>
      </c>
      <c r="D36" s="40" t="s">
        <v>1126</v>
      </c>
      <c r="E36" s="40" t="s">
        <v>1127</v>
      </c>
      <c r="F36" s="40" t="s">
        <v>1128</v>
      </c>
      <c r="G36">
        <v>2009</v>
      </c>
      <c r="H36">
        <v>1703</v>
      </c>
      <c r="I36" s="40" t="s">
        <v>1005</v>
      </c>
      <c r="J36" s="40" t="s">
        <v>1129</v>
      </c>
      <c r="K36" s="40" t="s">
        <v>1130</v>
      </c>
      <c r="L36" s="39">
        <v>40100</v>
      </c>
      <c r="M36">
        <v>8</v>
      </c>
      <c r="N36">
        <v>1</v>
      </c>
      <c r="O36">
        <v>111</v>
      </c>
      <c r="P36" s="40" t="s">
        <v>1008</v>
      </c>
      <c r="Q36">
        <v>1</v>
      </c>
      <c r="R36">
        <v>1</v>
      </c>
      <c r="S36">
        <v>2</v>
      </c>
    </row>
    <row r="37" spans="1:19">
      <c r="A37" s="39">
        <v>40155</v>
      </c>
      <c r="B37">
        <v>1</v>
      </c>
      <c r="D37" s="40" t="s">
        <v>1131</v>
      </c>
      <c r="E37" s="40" t="s">
        <v>1132</v>
      </c>
      <c r="F37" s="40" t="s">
        <v>1133</v>
      </c>
      <c r="G37">
        <v>2009</v>
      </c>
      <c r="H37">
        <v>1703</v>
      </c>
      <c r="I37" s="40" t="s">
        <v>1005</v>
      </c>
      <c r="J37" s="40" t="s">
        <v>1134</v>
      </c>
      <c r="K37" s="40" t="s">
        <v>1135</v>
      </c>
      <c r="L37" s="39">
        <v>40093</v>
      </c>
      <c r="M37">
        <v>9</v>
      </c>
      <c r="N37">
        <v>0</v>
      </c>
      <c r="O37">
        <v>111</v>
      </c>
      <c r="P37" s="40" t="s">
        <v>1008</v>
      </c>
      <c r="Q37">
        <v>1</v>
      </c>
      <c r="R37">
        <v>1</v>
      </c>
      <c r="S37">
        <v>2</v>
      </c>
    </row>
    <row r="38" spans="1:19">
      <c r="A38" s="39">
        <v>40203</v>
      </c>
      <c r="B38">
        <v>1</v>
      </c>
      <c r="D38" s="40" t="s">
        <v>1136</v>
      </c>
      <c r="E38" s="40" t="s">
        <v>1137</v>
      </c>
      <c r="F38" s="40" t="s">
        <v>1138</v>
      </c>
      <c r="G38">
        <v>2009</v>
      </c>
      <c r="H38">
        <v>1703</v>
      </c>
      <c r="I38" s="40" t="s">
        <v>1005</v>
      </c>
      <c r="J38" s="40" t="s">
        <v>1139</v>
      </c>
      <c r="K38" s="40" t="s">
        <v>1140</v>
      </c>
      <c r="L38" s="39">
        <v>40120</v>
      </c>
      <c r="M38">
        <v>5</v>
      </c>
      <c r="N38">
        <v>3</v>
      </c>
      <c r="O38">
        <v>111</v>
      </c>
      <c r="P38" s="40" t="s">
        <v>1008</v>
      </c>
      <c r="Q38">
        <v>1</v>
      </c>
      <c r="R38">
        <v>1</v>
      </c>
      <c r="S38">
        <v>2</v>
      </c>
    </row>
    <row r="39" spans="1:19">
      <c r="A39" s="39">
        <v>40199</v>
      </c>
      <c r="B39">
        <v>1</v>
      </c>
      <c r="D39" s="40" t="s">
        <v>1141</v>
      </c>
      <c r="E39" s="40" t="s">
        <v>1142</v>
      </c>
      <c r="F39" s="40" t="s">
        <v>1143</v>
      </c>
      <c r="G39">
        <v>2009</v>
      </c>
      <c r="H39">
        <v>1703</v>
      </c>
      <c r="I39" s="40" t="s">
        <v>1005</v>
      </c>
      <c r="J39" s="40" t="s">
        <v>1144</v>
      </c>
      <c r="K39" s="40" t="s">
        <v>1145</v>
      </c>
      <c r="L39" s="39">
        <v>39896</v>
      </c>
      <c r="M39">
        <v>5</v>
      </c>
      <c r="N39">
        <v>4</v>
      </c>
      <c r="O39">
        <v>111</v>
      </c>
      <c r="P39" s="40" t="s">
        <v>1008</v>
      </c>
      <c r="Q39">
        <v>3</v>
      </c>
      <c r="R39">
        <v>1</v>
      </c>
      <c r="S39">
        <v>2</v>
      </c>
    </row>
    <row r="40" spans="1:19">
      <c r="A40" s="39">
        <v>40198</v>
      </c>
      <c r="B40">
        <v>1</v>
      </c>
      <c r="D40" s="40" t="s">
        <v>1146</v>
      </c>
      <c r="E40" s="40" t="s">
        <v>1147</v>
      </c>
      <c r="F40" s="40" t="s">
        <v>1148</v>
      </c>
      <c r="G40">
        <v>2009</v>
      </c>
      <c r="H40">
        <v>1703</v>
      </c>
      <c r="I40" s="40" t="s">
        <v>1005</v>
      </c>
      <c r="J40" s="40" t="s">
        <v>1149</v>
      </c>
      <c r="K40" s="40" t="s">
        <v>1150</v>
      </c>
      <c r="L40" s="39">
        <v>40121</v>
      </c>
      <c r="M40">
        <v>7</v>
      </c>
      <c r="N40">
        <v>2</v>
      </c>
      <c r="O40">
        <v>111</v>
      </c>
      <c r="P40" s="40" t="s">
        <v>1008</v>
      </c>
      <c r="Q40">
        <v>1</v>
      </c>
      <c r="R40">
        <v>1</v>
      </c>
      <c r="S40">
        <v>2</v>
      </c>
    </row>
    <row r="41" spans="1:19">
      <c r="A41" s="39">
        <v>40198</v>
      </c>
      <c r="B41">
        <v>1</v>
      </c>
      <c r="D41" s="40" t="s">
        <v>1151</v>
      </c>
      <c r="E41" s="40" t="s">
        <v>1152</v>
      </c>
      <c r="F41" s="40" t="s">
        <v>1153</v>
      </c>
      <c r="G41">
        <v>2009</v>
      </c>
      <c r="H41">
        <v>1703</v>
      </c>
      <c r="I41" s="40" t="s">
        <v>1005</v>
      </c>
      <c r="J41" s="40" t="s">
        <v>1154</v>
      </c>
      <c r="K41" s="40" t="s">
        <v>1155</v>
      </c>
      <c r="L41" s="39">
        <v>40099</v>
      </c>
      <c r="M41">
        <v>5</v>
      </c>
      <c r="N41">
        <v>4</v>
      </c>
      <c r="O41">
        <v>111</v>
      </c>
      <c r="P41" s="40" t="s">
        <v>1008</v>
      </c>
      <c r="Q41">
        <v>1</v>
      </c>
      <c r="R41">
        <v>1</v>
      </c>
      <c r="S41">
        <v>2</v>
      </c>
    </row>
    <row r="42" spans="1:19">
      <c r="A42" s="39">
        <v>40191</v>
      </c>
      <c r="B42">
        <v>1</v>
      </c>
      <c r="D42" s="40" t="s">
        <v>1156</v>
      </c>
      <c r="E42" s="40" t="s">
        <v>1157</v>
      </c>
      <c r="F42" s="40" t="s">
        <v>1158</v>
      </c>
      <c r="G42">
        <v>2009</v>
      </c>
      <c r="H42">
        <v>1703</v>
      </c>
      <c r="I42" s="40" t="s">
        <v>1005</v>
      </c>
      <c r="J42" s="40" t="s">
        <v>1159</v>
      </c>
      <c r="K42" s="40" t="s">
        <v>1160</v>
      </c>
      <c r="L42" s="39">
        <v>40120</v>
      </c>
      <c r="M42">
        <v>8</v>
      </c>
      <c r="N42">
        <v>1</v>
      </c>
      <c r="O42">
        <v>111</v>
      </c>
      <c r="P42" s="40" t="s">
        <v>1008</v>
      </c>
      <c r="Q42">
        <v>1</v>
      </c>
      <c r="R42">
        <v>1</v>
      </c>
      <c r="S42">
        <v>2</v>
      </c>
    </row>
    <row r="43" spans="1:19">
      <c r="A43" s="39">
        <v>40190</v>
      </c>
      <c r="B43">
        <v>1</v>
      </c>
      <c r="D43" s="40" t="s">
        <v>1161</v>
      </c>
      <c r="E43" s="40" t="s">
        <v>1162</v>
      </c>
      <c r="F43" s="40" t="s">
        <v>1163</v>
      </c>
      <c r="G43">
        <v>2009</v>
      </c>
      <c r="H43">
        <v>1703</v>
      </c>
      <c r="I43" s="40" t="s">
        <v>1005</v>
      </c>
      <c r="J43" s="40" t="s">
        <v>1164</v>
      </c>
      <c r="K43" s="40" t="s">
        <v>1165</v>
      </c>
      <c r="L43" s="39">
        <v>40099</v>
      </c>
      <c r="M43">
        <v>9</v>
      </c>
      <c r="N43">
        <v>0</v>
      </c>
      <c r="O43">
        <v>111</v>
      </c>
      <c r="P43" s="40" t="s">
        <v>1008</v>
      </c>
      <c r="Q43">
        <v>1</v>
      </c>
      <c r="R43">
        <v>1</v>
      </c>
      <c r="S43">
        <v>2</v>
      </c>
    </row>
    <row r="44" spans="1:19">
      <c r="A44" s="39">
        <v>40233</v>
      </c>
      <c r="B44">
        <v>1</v>
      </c>
      <c r="D44" s="40" t="s">
        <v>1166</v>
      </c>
      <c r="E44" s="40" t="s">
        <v>1167</v>
      </c>
      <c r="F44" s="40" t="s">
        <v>1168</v>
      </c>
      <c r="G44">
        <v>2009</v>
      </c>
      <c r="H44">
        <v>1703</v>
      </c>
      <c r="I44" s="40" t="s">
        <v>1005</v>
      </c>
      <c r="J44" s="40" t="s">
        <v>1169</v>
      </c>
      <c r="K44" s="40" t="s">
        <v>1170</v>
      </c>
      <c r="L44" s="39">
        <v>40091</v>
      </c>
      <c r="M44">
        <v>9</v>
      </c>
      <c r="N44">
        <v>0</v>
      </c>
      <c r="O44">
        <v>111</v>
      </c>
      <c r="P44" s="40" t="s">
        <v>1008</v>
      </c>
      <c r="Q44">
        <v>1</v>
      </c>
      <c r="R44">
        <v>1</v>
      </c>
      <c r="S44">
        <v>2</v>
      </c>
    </row>
    <row r="45" spans="1:19">
      <c r="A45" s="39">
        <v>40232</v>
      </c>
      <c r="B45">
        <v>1</v>
      </c>
      <c r="D45" s="40" t="s">
        <v>1171</v>
      </c>
      <c r="E45" s="40" t="s">
        <v>1172</v>
      </c>
      <c r="F45" s="40" t="s">
        <v>1173</v>
      </c>
      <c r="G45">
        <v>2009</v>
      </c>
      <c r="H45">
        <v>1703</v>
      </c>
      <c r="I45" s="40" t="s">
        <v>1005</v>
      </c>
      <c r="J45" s="40" t="s">
        <v>1174</v>
      </c>
      <c r="K45" s="40" t="s">
        <v>1175</v>
      </c>
      <c r="L45" s="39">
        <v>40127</v>
      </c>
      <c r="M45">
        <v>9</v>
      </c>
      <c r="N45">
        <v>0</v>
      </c>
      <c r="O45">
        <v>111</v>
      </c>
      <c r="P45" s="40" t="s">
        <v>1008</v>
      </c>
      <c r="Q45">
        <v>1</v>
      </c>
      <c r="R45">
        <v>1</v>
      </c>
      <c r="S45">
        <v>2</v>
      </c>
    </row>
    <row r="46" spans="1:19">
      <c r="A46" s="39">
        <v>40232</v>
      </c>
      <c r="B46">
        <v>1</v>
      </c>
      <c r="D46" s="40" t="s">
        <v>1176</v>
      </c>
      <c r="E46" s="40" t="s">
        <v>1177</v>
      </c>
      <c r="F46" s="40" t="s">
        <v>1178</v>
      </c>
      <c r="G46">
        <v>2009</v>
      </c>
      <c r="H46">
        <v>1703</v>
      </c>
      <c r="I46" s="40" t="s">
        <v>1005</v>
      </c>
      <c r="J46" s="40" t="s">
        <v>1179</v>
      </c>
      <c r="K46" s="40" t="s">
        <v>1180</v>
      </c>
      <c r="L46" s="39">
        <v>40154</v>
      </c>
      <c r="M46">
        <v>7</v>
      </c>
      <c r="N46">
        <v>2</v>
      </c>
      <c r="O46">
        <v>111</v>
      </c>
      <c r="P46" s="40" t="s">
        <v>1008</v>
      </c>
      <c r="Q46">
        <v>1</v>
      </c>
      <c r="R46">
        <v>1</v>
      </c>
      <c r="S46">
        <v>2</v>
      </c>
    </row>
    <row r="47" spans="1:19">
      <c r="A47" s="39">
        <v>40239</v>
      </c>
      <c r="B47">
        <v>1</v>
      </c>
      <c r="D47" s="40" t="s">
        <v>1181</v>
      </c>
      <c r="E47" s="40" t="s">
        <v>1182</v>
      </c>
      <c r="F47" s="40" t="s">
        <v>1183</v>
      </c>
      <c r="G47">
        <v>2009</v>
      </c>
      <c r="H47">
        <v>1703</v>
      </c>
      <c r="I47" s="40" t="s">
        <v>1005</v>
      </c>
      <c r="J47" s="40" t="s">
        <v>1184</v>
      </c>
      <c r="K47" s="40" t="s">
        <v>1185</v>
      </c>
      <c r="L47" s="39">
        <v>40093</v>
      </c>
      <c r="M47">
        <v>8</v>
      </c>
      <c r="N47">
        <v>0</v>
      </c>
      <c r="O47">
        <v>111</v>
      </c>
      <c r="P47" s="40" t="s">
        <v>1008</v>
      </c>
      <c r="Q47">
        <v>1</v>
      </c>
      <c r="R47">
        <v>1</v>
      </c>
      <c r="S47">
        <v>2</v>
      </c>
    </row>
    <row r="48" spans="1:19">
      <c r="A48" s="39">
        <v>40245</v>
      </c>
      <c r="B48">
        <v>1</v>
      </c>
      <c r="D48" s="40" t="s">
        <v>1186</v>
      </c>
      <c r="E48" s="40" t="s">
        <v>1187</v>
      </c>
      <c r="F48" s="40" t="s">
        <v>1188</v>
      </c>
      <c r="G48">
        <v>2009</v>
      </c>
      <c r="H48">
        <v>1703</v>
      </c>
      <c r="I48" s="40" t="s">
        <v>1005</v>
      </c>
      <c r="J48" s="40" t="s">
        <v>1189</v>
      </c>
      <c r="K48" s="40" t="s">
        <v>1190</v>
      </c>
      <c r="L48" s="39">
        <v>40148</v>
      </c>
      <c r="M48">
        <v>9</v>
      </c>
      <c r="N48">
        <v>0</v>
      </c>
      <c r="O48">
        <v>111</v>
      </c>
      <c r="P48" s="40" t="s">
        <v>1008</v>
      </c>
      <c r="Q48">
        <v>1</v>
      </c>
      <c r="R48">
        <v>1</v>
      </c>
      <c r="S48">
        <v>2</v>
      </c>
    </row>
    <row r="49" spans="1:19">
      <c r="A49" s="39">
        <v>40268</v>
      </c>
      <c r="B49">
        <v>1</v>
      </c>
      <c r="D49" s="40" t="s">
        <v>1191</v>
      </c>
      <c r="E49" s="40" t="s">
        <v>1192</v>
      </c>
      <c r="F49" s="40" t="s">
        <v>1193</v>
      </c>
      <c r="G49">
        <v>2009</v>
      </c>
      <c r="H49">
        <v>1703</v>
      </c>
      <c r="I49" s="40" t="s">
        <v>1005</v>
      </c>
      <c r="J49" s="40" t="s">
        <v>1194</v>
      </c>
      <c r="K49" s="40" t="s">
        <v>1195</v>
      </c>
      <c r="L49" s="39">
        <v>40119</v>
      </c>
      <c r="M49">
        <v>5</v>
      </c>
      <c r="N49">
        <v>4</v>
      </c>
      <c r="O49">
        <v>111</v>
      </c>
      <c r="P49" s="40" t="s">
        <v>1008</v>
      </c>
      <c r="Q49">
        <v>2</v>
      </c>
      <c r="R49">
        <v>1</v>
      </c>
      <c r="S49">
        <v>1</v>
      </c>
    </row>
    <row r="50" spans="1:19">
      <c r="A50" s="39">
        <v>40267</v>
      </c>
      <c r="B50">
        <v>1</v>
      </c>
      <c r="D50" s="40" t="s">
        <v>1196</v>
      </c>
      <c r="E50" s="40" t="s">
        <v>1197</v>
      </c>
      <c r="F50" s="40" t="s">
        <v>1198</v>
      </c>
      <c r="G50">
        <v>2009</v>
      </c>
      <c r="H50">
        <v>1703</v>
      </c>
      <c r="I50" s="40" t="s">
        <v>1005</v>
      </c>
      <c r="J50" s="40" t="s">
        <v>1199</v>
      </c>
      <c r="K50" s="40" t="s">
        <v>1200</v>
      </c>
      <c r="L50" s="39">
        <v>40198</v>
      </c>
      <c r="M50">
        <v>9</v>
      </c>
      <c r="N50">
        <v>0</v>
      </c>
      <c r="O50">
        <v>111</v>
      </c>
      <c r="P50" s="40" t="s">
        <v>1008</v>
      </c>
      <c r="Q50">
        <v>1</v>
      </c>
      <c r="R50">
        <v>1</v>
      </c>
      <c r="S50">
        <v>2</v>
      </c>
    </row>
    <row r="51" spans="1:19">
      <c r="A51" s="39">
        <v>40267</v>
      </c>
      <c r="B51">
        <v>1</v>
      </c>
      <c r="D51" s="40" t="s">
        <v>1201</v>
      </c>
      <c r="E51" s="40" t="s">
        <v>1202</v>
      </c>
      <c r="F51" s="40" t="s">
        <v>1203</v>
      </c>
      <c r="G51">
        <v>2009</v>
      </c>
      <c r="H51">
        <v>1703</v>
      </c>
      <c r="I51" s="40" t="s">
        <v>1005</v>
      </c>
      <c r="J51" s="40" t="s">
        <v>1204</v>
      </c>
      <c r="K51" s="40" t="s">
        <v>1205</v>
      </c>
      <c r="L51" s="39">
        <v>40147</v>
      </c>
      <c r="M51">
        <v>7</v>
      </c>
      <c r="N51">
        <v>2</v>
      </c>
      <c r="O51">
        <v>111</v>
      </c>
      <c r="P51" s="40" t="s">
        <v>1008</v>
      </c>
      <c r="Q51">
        <v>1</v>
      </c>
      <c r="R51">
        <v>1</v>
      </c>
      <c r="S51">
        <v>2</v>
      </c>
    </row>
    <row r="52" spans="1:19">
      <c r="A52" s="39">
        <v>40260</v>
      </c>
      <c r="B52">
        <v>1</v>
      </c>
      <c r="D52" s="40" t="s">
        <v>1206</v>
      </c>
      <c r="E52" s="40" t="s">
        <v>1207</v>
      </c>
      <c r="F52" s="40" t="s">
        <v>1208</v>
      </c>
      <c r="G52">
        <v>2009</v>
      </c>
      <c r="H52">
        <v>1703</v>
      </c>
      <c r="I52" s="40" t="s">
        <v>1005</v>
      </c>
      <c r="J52" s="40" t="s">
        <v>1209</v>
      </c>
      <c r="K52" s="40" t="s">
        <v>1210</v>
      </c>
      <c r="L52" s="39">
        <v>40148</v>
      </c>
      <c r="M52">
        <v>9</v>
      </c>
      <c r="N52">
        <v>0</v>
      </c>
      <c r="O52">
        <v>111</v>
      </c>
      <c r="P52" s="40" t="s">
        <v>1008</v>
      </c>
      <c r="Q52">
        <v>1</v>
      </c>
      <c r="R52">
        <v>1</v>
      </c>
      <c r="S52">
        <v>2</v>
      </c>
    </row>
    <row r="53" spans="1:19">
      <c r="A53" s="39">
        <v>40271</v>
      </c>
      <c r="B53">
        <v>1</v>
      </c>
      <c r="D53" s="40" t="s">
        <v>1211</v>
      </c>
      <c r="E53" s="40" t="s">
        <v>1212</v>
      </c>
      <c r="F53" s="40" t="s">
        <v>1213</v>
      </c>
      <c r="G53">
        <v>2009</v>
      </c>
      <c r="H53">
        <v>1703</v>
      </c>
      <c r="I53" s="40" t="s">
        <v>1005</v>
      </c>
      <c r="J53" s="40" t="s">
        <v>1214</v>
      </c>
      <c r="K53" s="40" t="s">
        <v>1215</v>
      </c>
      <c r="L53" s="39">
        <v>40239</v>
      </c>
      <c r="M53">
        <v>9</v>
      </c>
      <c r="N53">
        <v>0</v>
      </c>
      <c r="O53">
        <v>111</v>
      </c>
      <c r="P53" s="40" t="s">
        <v>1008</v>
      </c>
      <c r="Q53">
        <v>1</v>
      </c>
      <c r="R53">
        <v>1</v>
      </c>
      <c r="S53">
        <v>2</v>
      </c>
    </row>
    <row r="54" spans="1:19">
      <c r="A54" s="39">
        <v>40301</v>
      </c>
      <c r="B54">
        <v>1</v>
      </c>
      <c r="D54" s="40" t="s">
        <v>1216</v>
      </c>
      <c r="E54" s="40" t="s">
        <v>1217</v>
      </c>
      <c r="F54" s="40" t="s">
        <v>1218</v>
      </c>
      <c r="G54">
        <v>2009</v>
      </c>
      <c r="H54">
        <v>1703</v>
      </c>
      <c r="I54" s="40" t="s">
        <v>1005</v>
      </c>
      <c r="J54" s="40" t="s">
        <v>1219</v>
      </c>
      <c r="K54" s="40" t="s">
        <v>1220</v>
      </c>
      <c r="L54" s="39">
        <v>40266</v>
      </c>
      <c r="M54">
        <v>6</v>
      </c>
      <c r="N54">
        <v>3</v>
      </c>
      <c r="O54">
        <v>111</v>
      </c>
      <c r="P54" s="40" t="s">
        <v>1008</v>
      </c>
      <c r="Q54">
        <v>1</v>
      </c>
      <c r="R54">
        <v>1</v>
      </c>
      <c r="S54">
        <v>2</v>
      </c>
    </row>
    <row r="55" spans="1:19">
      <c r="A55" s="39">
        <v>40295</v>
      </c>
      <c r="B55">
        <v>1</v>
      </c>
      <c r="D55" s="40" t="s">
        <v>1221</v>
      </c>
      <c r="E55" s="40" t="s">
        <v>1222</v>
      </c>
      <c r="F55" s="40" t="s">
        <v>1223</v>
      </c>
      <c r="G55">
        <v>2009</v>
      </c>
      <c r="H55">
        <v>1703</v>
      </c>
      <c r="I55" s="40" t="s">
        <v>1005</v>
      </c>
      <c r="J55" s="40" t="s">
        <v>1224</v>
      </c>
      <c r="K55" s="40" t="s">
        <v>1225</v>
      </c>
      <c r="L55" s="39">
        <v>40147</v>
      </c>
      <c r="M55">
        <v>9</v>
      </c>
      <c r="N55">
        <v>0</v>
      </c>
      <c r="O55">
        <v>111</v>
      </c>
      <c r="P55" s="40" t="s">
        <v>1008</v>
      </c>
      <c r="Q55">
        <v>1</v>
      </c>
      <c r="R55">
        <v>1</v>
      </c>
      <c r="S55">
        <v>2</v>
      </c>
    </row>
    <row r="56" spans="1:19">
      <c r="A56" s="39">
        <v>40289</v>
      </c>
      <c r="B56">
        <v>1</v>
      </c>
      <c r="D56" s="40" t="s">
        <v>1226</v>
      </c>
      <c r="E56" s="40" t="s">
        <v>1227</v>
      </c>
      <c r="F56" s="40" t="s">
        <v>1228</v>
      </c>
      <c r="G56">
        <v>2009</v>
      </c>
      <c r="H56">
        <v>1703</v>
      </c>
      <c r="I56" s="40" t="s">
        <v>1005</v>
      </c>
      <c r="J56" s="40" t="s">
        <v>1229</v>
      </c>
      <c r="K56" s="40" t="s">
        <v>1230</v>
      </c>
      <c r="L56" s="39">
        <v>40191</v>
      </c>
      <c r="M56">
        <v>7</v>
      </c>
      <c r="N56">
        <v>2</v>
      </c>
      <c r="O56">
        <v>111</v>
      </c>
      <c r="P56" s="40" t="s">
        <v>1008</v>
      </c>
      <c r="Q56">
        <v>2</v>
      </c>
      <c r="R56">
        <v>1</v>
      </c>
      <c r="S56">
        <v>1</v>
      </c>
    </row>
    <row r="57" spans="1:19">
      <c r="A57" s="39">
        <v>40315</v>
      </c>
      <c r="B57">
        <v>1</v>
      </c>
      <c r="D57" s="40" t="s">
        <v>1231</v>
      </c>
      <c r="E57" s="40" t="s">
        <v>1232</v>
      </c>
      <c r="F57" s="40" t="s">
        <v>1233</v>
      </c>
      <c r="G57">
        <v>2009</v>
      </c>
      <c r="H57">
        <v>1703</v>
      </c>
      <c r="I57" s="40" t="s">
        <v>1005</v>
      </c>
      <c r="J57" s="40" t="s">
        <v>1234</v>
      </c>
      <c r="K57" s="40" t="s">
        <v>1235</v>
      </c>
      <c r="L57" s="39">
        <v>40190</v>
      </c>
      <c r="M57">
        <v>6</v>
      </c>
      <c r="N57">
        <v>3</v>
      </c>
      <c r="O57">
        <v>111</v>
      </c>
      <c r="P57" s="40" t="s">
        <v>1008</v>
      </c>
      <c r="Q57">
        <v>1</v>
      </c>
      <c r="R57">
        <v>1</v>
      </c>
      <c r="S57">
        <v>2</v>
      </c>
    </row>
    <row r="58" spans="1:19">
      <c r="A58" s="39">
        <v>40315</v>
      </c>
      <c r="B58">
        <v>1</v>
      </c>
      <c r="D58" s="40" t="s">
        <v>1236</v>
      </c>
      <c r="E58" s="40" t="s">
        <v>1237</v>
      </c>
      <c r="F58" s="40" t="s">
        <v>1238</v>
      </c>
      <c r="G58">
        <v>2009</v>
      </c>
      <c r="H58">
        <v>1703</v>
      </c>
      <c r="I58" s="40" t="s">
        <v>1005</v>
      </c>
      <c r="J58" s="40" t="s">
        <v>1239</v>
      </c>
      <c r="K58" s="40" t="s">
        <v>1240</v>
      </c>
      <c r="L58" s="39">
        <v>40126</v>
      </c>
      <c r="M58">
        <v>6</v>
      </c>
      <c r="N58">
        <v>3</v>
      </c>
      <c r="O58">
        <v>111</v>
      </c>
      <c r="P58" s="40" t="s">
        <v>1008</v>
      </c>
      <c r="Q58">
        <v>2</v>
      </c>
      <c r="R58">
        <v>1</v>
      </c>
      <c r="S58">
        <v>1</v>
      </c>
    </row>
    <row r="59" spans="1:19">
      <c r="A59" s="39">
        <v>40322</v>
      </c>
      <c r="B59">
        <v>1</v>
      </c>
      <c r="D59" s="40" t="s">
        <v>1241</v>
      </c>
      <c r="E59" s="40" t="s">
        <v>1242</v>
      </c>
      <c r="F59" s="40" t="s">
        <v>1243</v>
      </c>
      <c r="G59">
        <v>2009</v>
      </c>
      <c r="H59">
        <v>1703</v>
      </c>
      <c r="I59" s="40" t="s">
        <v>1005</v>
      </c>
      <c r="J59" s="40" t="s">
        <v>1244</v>
      </c>
      <c r="K59" s="40" t="s">
        <v>1245</v>
      </c>
      <c r="L59" s="39">
        <v>40191</v>
      </c>
      <c r="M59">
        <v>9</v>
      </c>
      <c r="N59">
        <v>0</v>
      </c>
      <c r="O59">
        <v>111</v>
      </c>
      <c r="P59" s="40" t="s">
        <v>1008</v>
      </c>
      <c r="Q59">
        <v>1</v>
      </c>
      <c r="R59">
        <v>1</v>
      </c>
      <c r="S59">
        <v>2</v>
      </c>
    </row>
    <row r="60" spans="1:19">
      <c r="A60" s="39">
        <v>40322</v>
      </c>
      <c r="B60">
        <v>1</v>
      </c>
      <c r="D60" s="40" t="s">
        <v>1246</v>
      </c>
      <c r="E60" s="40" t="s">
        <v>1247</v>
      </c>
      <c r="F60" s="40" t="s">
        <v>1248</v>
      </c>
      <c r="G60">
        <v>2009</v>
      </c>
      <c r="H60">
        <v>1703</v>
      </c>
      <c r="I60" s="40" t="s">
        <v>1005</v>
      </c>
      <c r="J60" s="40" t="s">
        <v>1249</v>
      </c>
      <c r="K60" s="40" t="s">
        <v>1250</v>
      </c>
      <c r="L60" s="39">
        <v>40231</v>
      </c>
      <c r="M60">
        <v>9</v>
      </c>
      <c r="N60">
        <v>0</v>
      </c>
      <c r="O60">
        <v>111</v>
      </c>
      <c r="P60" s="40" t="s">
        <v>1008</v>
      </c>
      <c r="Q60">
        <v>1</v>
      </c>
      <c r="R60">
        <v>1</v>
      </c>
      <c r="S60">
        <v>2</v>
      </c>
    </row>
    <row r="61" spans="1:19">
      <c r="A61" s="39">
        <v>40322</v>
      </c>
      <c r="B61">
        <v>1</v>
      </c>
      <c r="D61" s="40" t="s">
        <v>1251</v>
      </c>
      <c r="E61" s="40" t="s">
        <v>1252</v>
      </c>
      <c r="F61" s="40" t="s">
        <v>1253</v>
      </c>
      <c r="G61">
        <v>2009</v>
      </c>
      <c r="H61">
        <v>1703</v>
      </c>
      <c r="I61" s="40" t="s">
        <v>1005</v>
      </c>
      <c r="J61" s="40" t="s">
        <v>1254</v>
      </c>
      <c r="K61" s="40" t="s">
        <v>1255</v>
      </c>
      <c r="L61" s="39">
        <v>40232</v>
      </c>
      <c r="M61">
        <v>9</v>
      </c>
      <c r="N61">
        <v>0</v>
      </c>
      <c r="O61">
        <v>111</v>
      </c>
      <c r="P61" s="40" t="s">
        <v>1008</v>
      </c>
      <c r="Q61">
        <v>1</v>
      </c>
      <c r="R61">
        <v>1</v>
      </c>
      <c r="S61">
        <v>2</v>
      </c>
    </row>
    <row r="62" spans="1:19">
      <c r="A62" s="39">
        <v>40322</v>
      </c>
      <c r="B62">
        <v>1</v>
      </c>
      <c r="D62" s="40" t="s">
        <v>1256</v>
      </c>
      <c r="E62" s="40" t="s">
        <v>1257</v>
      </c>
      <c r="F62" s="40" t="s">
        <v>1258</v>
      </c>
      <c r="G62">
        <v>2009</v>
      </c>
      <c r="H62">
        <v>1703</v>
      </c>
      <c r="I62" s="40" t="s">
        <v>1005</v>
      </c>
      <c r="J62" s="40" t="s">
        <v>1259</v>
      </c>
      <c r="K62" s="40" t="s">
        <v>1260</v>
      </c>
      <c r="L62" s="39">
        <v>40294</v>
      </c>
      <c r="M62">
        <v>9</v>
      </c>
      <c r="N62">
        <v>0</v>
      </c>
      <c r="O62">
        <v>111</v>
      </c>
      <c r="P62" s="40" t="s">
        <v>1008</v>
      </c>
      <c r="Q62">
        <v>1</v>
      </c>
      <c r="R62">
        <v>1</v>
      </c>
      <c r="S62">
        <v>2</v>
      </c>
    </row>
    <row r="63" spans="1:19">
      <c r="A63" s="39">
        <v>40322</v>
      </c>
      <c r="B63">
        <v>1</v>
      </c>
      <c r="D63" s="40" t="s">
        <v>1261</v>
      </c>
      <c r="E63" s="40" t="s">
        <v>1262</v>
      </c>
      <c r="F63" s="40" t="s">
        <v>1263</v>
      </c>
      <c r="G63">
        <v>2009</v>
      </c>
      <c r="H63">
        <v>1703</v>
      </c>
      <c r="I63" s="40" t="s">
        <v>1005</v>
      </c>
      <c r="J63" s="40" t="s">
        <v>1264</v>
      </c>
      <c r="K63" s="40" t="s">
        <v>1265</v>
      </c>
      <c r="L63" s="39">
        <v>40233</v>
      </c>
      <c r="M63">
        <v>7</v>
      </c>
      <c r="N63">
        <v>1</v>
      </c>
      <c r="O63">
        <v>111</v>
      </c>
      <c r="P63" s="40" t="s">
        <v>1008</v>
      </c>
      <c r="Q63">
        <v>1</v>
      </c>
      <c r="R63">
        <v>1</v>
      </c>
      <c r="S63">
        <v>2</v>
      </c>
    </row>
    <row r="64" spans="1:19">
      <c r="A64" s="39">
        <v>40330</v>
      </c>
      <c r="B64">
        <v>1</v>
      </c>
      <c r="D64" s="40" t="s">
        <v>1266</v>
      </c>
      <c r="E64" s="40" t="s">
        <v>1267</v>
      </c>
      <c r="F64" s="40" t="s">
        <v>1268</v>
      </c>
      <c r="G64">
        <v>2009</v>
      </c>
      <c r="H64">
        <v>1703</v>
      </c>
      <c r="I64" s="40" t="s">
        <v>1005</v>
      </c>
      <c r="J64" s="40" t="s">
        <v>1269</v>
      </c>
      <c r="K64" s="40" t="s">
        <v>1270</v>
      </c>
      <c r="L64" s="39">
        <v>40189</v>
      </c>
      <c r="M64">
        <v>6</v>
      </c>
      <c r="N64">
        <v>3</v>
      </c>
      <c r="O64">
        <v>111</v>
      </c>
      <c r="P64" s="40" t="s">
        <v>1008</v>
      </c>
      <c r="Q64">
        <v>1</v>
      </c>
      <c r="R64">
        <v>1</v>
      </c>
      <c r="S64">
        <v>2</v>
      </c>
    </row>
    <row r="65" spans="1:19">
      <c r="A65" s="39">
        <v>40330</v>
      </c>
      <c r="B65">
        <v>1</v>
      </c>
      <c r="D65" s="40" t="s">
        <v>1271</v>
      </c>
      <c r="E65" s="40" t="s">
        <v>1272</v>
      </c>
      <c r="F65" s="40" t="s">
        <v>1273</v>
      </c>
      <c r="G65">
        <v>2009</v>
      </c>
      <c r="H65">
        <v>1703</v>
      </c>
      <c r="I65" s="40" t="s">
        <v>1005</v>
      </c>
      <c r="J65" s="40" t="s">
        <v>1274</v>
      </c>
      <c r="K65" s="40" t="s">
        <v>1275</v>
      </c>
      <c r="L65" s="39">
        <v>40238</v>
      </c>
      <c r="M65">
        <v>5</v>
      </c>
      <c r="N65">
        <v>4</v>
      </c>
      <c r="O65">
        <v>111</v>
      </c>
      <c r="P65" s="40" t="s">
        <v>1008</v>
      </c>
      <c r="Q65">
        <v>1</v>
      </c>
      <c r="R65">
        <v>1</v>
      </c>
      <c r="S65">
        <v>2</v>
      </c>
    </row>
    <row r="66" spans="1:19">
      <c r="A66" s="39">
        <v>40336</v>
      </c>
      <c r="B66">
        <v>1</v>
      </c>
      <c r="D66" s="40" t="s">
        <v>1276</v>
      </c>
      <c r="E66" s="40" t="s">
        <v>1277</v>
      </c>
      <c r="F66" s="40" t="s">
        <v>1278</v>
      </c>
      <c r="G66">
        <v>2009</v>
      </c>
      <c r="H66">
        <v>1703</v>
      </c>
      <c r="I66" s="40" t="s">
        <v>1005</v>
      </c>
      <c r="J66" s="40" t="s">
        <v>1279</v>
      </c>
      <c r="K66" s="40" t="s">
        <v>1280</v>
      </c>
      <c r="L66" s="39">
        <v>40267</v>
      </c>
      <c r="M66">
        <v>6</v>
      </c>
      <c r="N66">
        <v>3</v>
      </c>
      <c r="O66">
        <v>111</v>
      </c>
      <c r="P66" s="40" t="s">
        <v>1008</v>
      </c>
      <c r="Q66">
        <v>1</v>
      </c>
      <c r="R66">
        <v>1</v>
      </c>
      <c r="S66">
        <v>2</v>
      </c>
    </row>
    <row r="67" spans="1:19">
      <c r="A67" s="39">
        <v>40336</v>
      </c>
      <c r="B67">
        <v>1</v>
      </c>
      <c r="D67" s="40" t="s">
        <v>1281</v>
      </c>
      <c r="E67" s="40" t="s">
        <v>1282</v>
      </c>
      <c r="F67" s="40" t="s">
        <v>1283</v>
      </c>
      <c r="G67">
        <v>2009</v>
      </c>
      <c r="H67">
        <v>1703</v>
      </c>
      <c r="I67" s="40" t="s">
        <v>1005</v>
      </c>
      <c r="J67" s="40" t="s">
        <v>1284</v>
      </c>
      <c r="K67" s="40" t="s">
        <v>1285</v>
      </c>
      <c r="L67" s="39">
        <v>40289</v>
      </c>
      <c r="M67">
        <v>9</v>
      </c>
      <c r="N67">
        <v>0</v>
      </c>
      <c r="O67">
        <v>111</v>
      </c>
      <c r="P67" s="40" t="s">
        <v>1008</v>
      </c>
      <c r="Q67">
        <v>1</v>
      </c>
      <c r="R67">
        <v>1</v>
      </c>
      <c r="S67">
        <v>2</v>
      </c>
    </row>
    <row r="68" spans="1:19">
      <c r="A68" s="39">
        <v>40343</v>
      </c>
      <c r="B68">
        <v>1</v>
      </c>
      <c r="D68" s="40" t="s">
        <v>1286</v>
      </c>
      <c r="E68" s="40" t="s">
        <v>1287</v>
      </c>
      <c r="F68" s="40" t="s">
        <v>1288</v>
      </c>
      <c r="G68">
        <v>2009</v>
      </c>
      <c r="H68">
        <v>1703</v>
      </c>
      <c r="I68" s="40" t="s">
        <v>1005</v>
      </c>
      <c r="J68" s="40" t="s">
        <v>1289</v>
      </c>
      <c r="K68" s="40" t="s">
        <v>1290</v>
      </c>
      <c r="L68" s="39">
        <v>40268</v>
      </c>
      <c r="M68">
        <v>9</v>
      </c>
      <c r="N68">
        <v>0</v>
      </c>
      <c r="O68">
        <v>111</v>
      </c>
      <c r="P68" s="40" t="s">
        <v>1008</v>
      </c>
      <c r="Q68">
        <v>1</v>
      </c>
      <c r="R68">
        <v>1</v>
      </c>
      <c r="S68">
        <v>2</v>
      </c>
    </row>
    <row r="69" spans="1:19">
      <c r="A69" s="39">
        <v>40343</v>
      </c>
      <c r="B69">
        <v>1</v>
      </c>
      <c r="D69" s="40" t="s">
        <v>1291</v>
      </c>
      <c r="E69" s="40" t="s">
        <v>1292</v>
      </c>
      <c r="F69" s="40" t="s">
        <v>1293</v>
      </c>
      <c r="G69">
        <v>2009</v>
      </c>
      <c r="H69">
        <v>1703</v>
      </c>
      <c r="I69" s="40" t="s">
        <v>1005</v>
      </c>
      <c r="J69" s="40" t="s">
        <v>1294</v>
      </c>
      <c r="K69" s="40" t="s">
        <v>1295</v>
      </c>
      <c r="L69" s="39">
        <v>40231</v>
      </c>
      <c r="M69">
        <v>9</v>
      </c>
      <c r="N69">
        <v>0</v>
      </c>
      <c r="O69">
        <v>111</v>
      </c>
      <c r="P69" s="40" t="s">
        <v>1008</v>
      </c>
      <c r="Q69">
        <v>1</v>
      </c>
      <c r="R69">
        <v>1</v>
      </c>
      <c r="S69">
        <v>2</v>
      </c>
    </row>
    <row r="70" spans="1:19">
      <c r="A70" s="39">
        <v>40343</v>
      </c>
      <c r="B70">
        <v>1</v>
      </c>
      <c r="D70" s="40" t="s">
        <v>1296</v>
      </c>
      <c r="E70" s="40" t="s">
        <v>1297</v>
      </c>
      <c r="F70" s="40" t="s">
        <v>1298</v>
      </c>
      <c r="G70">
        <v>2009</v>
      </c>
      <c r="H70">
        <v>1703</v>
      </c>
      <c r="I70" s="40" t="s">
        <v>1005</v>
      </c>
      <c r="J70" s="40" t="s">
        <v>1299</v>
      </c>
      <c r="K70" s="40" t="s">
        <v>1300</v>
      </c>
      <c r="L70" s="39">
        <v>40288</v>
      </c>
      <c r="M70">
        <v>5</v>
      </c>
      <c r="N70">
        <v>4</v>
      </c>
      <c r="O70">
        <v>111</v>
      </c>
      <c r="P70" s="40" t="s">
        <v>1008</v>
      </c>
      <c r="Q70">
        <v>1</v>
      </c>
      <c r="R70">
        <v>1</v>
      </c>
      <c r="S70">
        <v>2</v>
      </c>
    </row>
    <row r="71" spans="1:19">
      <c r="A71" s="39">
        <v>40346</v>
      </c>
      <c r="B71">
        <v>1</v>
      </c>
      <c r="D71" s="40" t="s">
        <v>1301</v>
      </c>
      <c r="E71" s="40" t="s">
        <v>1302</v>
      </c>
      <c r="F71" s="40" t="s">
        <v>1303</v>
      </c>
      <c r="G71">
        <v>2009</v>
      </c>
      <c r="H71">
        <v>1703</v>
      </c>
      <c r="I71" s="40" t="s">
        <v>1005</v>
      </c>
      <c r="J71" s="40" t="s">
        <v>1304</v>
      </c>
      <c r="K71" s="40" t="s">
        <v>1305</v>
      </c>
      <c r="L71" s="39">
        <v>40260</v>
      </c>
      <c r="M71">
        <v>5</v>
      </c>
      <c r="N71">
        <v>4</v>
      </c>
      <c r="O71">
        <v>111</v>
      </c>
      <c r="P71" s="40" t="s">
        <v>1008</v>
      </c>
      <c r="Q71">
        <v>1</v>
      </c>
      <c r="R71">
        <v>1</v>
      </c>
      <c r="S71">
        <v>2</v>
      </c>
    </row>
    <row r="72" spans="1:19">
      <c r="A72" s="39">
        <v>40346</v>
      </c>
      <c r="B72">
        <v>1</v>
      </c>
      <c r="D72" s="40" t="s">
        <v>1306</v>
      </c>
      <c r="E72" s="40" t="s">
        <v>1307</v>
      </c>
      <c r="F72" s="40" t="s">
        <v>1308</v>
      </c>
      <c r="G72">
        <v>2009</v>
      </c>
      <c r="H72">
        <v>1703</v>
      </c>
      <c r="I72" s="40" t="s">
        <v>1005</v>
      </c>
      <c r="J72" s="40" t="s">
        <v>1309</v>
      </c>
      <c r="K72" s="40" t="s">
        <v>1310</v>
      </c>
      <c r="L72" s="39">
        <v>40149</v>
      </c>
      <c r="M72">
        <v>8</v>
      </c>
      <c r="N72">
        <v>0</v>
      </c>
      <c r="O72">
        <v>111</v>
      </c>
      <c r="P72" s="40" t="s">
        <v>1008</v>
      </c>
      <c r="Q72">
        <v>1</v>
      </c>
      <c r="R72">
        <v>1</v>
      </c>
      <c r="S72">
        <v>2</v>
      </c>
    </row>
    <row r="73" spans="1:19">
      <c r="A73" s="39">
        <v>40346</v>
      </c>
      <c r="B73">
        <v>1</v>
      </c>
      <c r="D73" s="40" t="s">
        <v>1311</v>
      </c>
      <c r="E73" s="40" t="s">
        <v>1312</v>
      </c>
      <c r="F73" s="40" t="s">
        <v>1313</v>
      </c>
      <c r="G73">
        <v>2009</v>
      </c>
      <c r="H73">
        <v>1703</v>
      </c>
      <c r="I73" s="40" t="s">
        <v>1005</v>
      </c>
      <c r="J73" s="40" t="s">
        <v>1314</v>
      </c>
      <c r="K73" s="40" t="s">
        <v>1315</v>
      </c>
      <c r="L73" s="39">
        <v>40287</v>
      </c>
      <c r="M73">
        <v>9</v>
      </c>
      <c r="N73">
        <v>0</v>
      </c>
      <c r="O73">
        <v>111</v>
      </c>
      <c r="P73" s="40" t="s">
        <v>1008</v>
      </c>
      <c r="Q73">
        <v>1</v>
      </c>
      <c r="R73">
        <v>1</v>
      </c>
      <c r="S73">
        <v>2</v>
      </c>
    </row>
    <row r="74" spans="1:19">
      <c r="A74" s="39">
        <v>40346</v>
      </c>
      <c r="B74">
        <v>1</v>
      </c>
      <c r="D74" s="40" t="s">
        <v>1316</v>
      </c>
      <c r="E74" s="40" t="s">
        <v>1317</v>
      </c>
      <c r="F74" s="40" t="s">
        <v>1318</v>
      </c>
      <c r="G74">
        <v>2009</v>
      </c>
      <c r="H74">
        <v>1703</v>
      </c>
      <c r="I74" s="40" t="s">
        <v>1005</v>
      </c>
      <c r="J74" s="40" t="s">
        <v>1319</v>
      </c>
      <c r="K74" s="40" t="s">
        <v>1320</v>
      </c>
      <c r="L74" s="39">
        <v>40120</v>
      </c>
      <c r="M74">
        <v>6</v>
      </c>
      <c r="N74">
        <v>3</v>
      </c>
      <c r="O74">
        <v>111</v>
      </c>
      <c r="P74" s="40" t="s">
        <v>1008</v>
      </c>
      <c r="Q74">
        <v>1</v>
      </c>
      <c r="R74">
        <v>1</v>
      </c>
      <c r="S74">
        <v>2</v>
      </c>
    </row>
    <row r="75" spans="1:19">
      <c r="A75" s="39">
        <v>40350</v>
      </c>
      <c r="B75">
        <v>1</v>
      </c>
      <c r="D75" s="40" t="s">
        <v>1321</v>
      </c>
      <c r="E75" s="40" t="s">
        <v>1322</v>
      </c>
      <c r="F75" s="40" t="s">
        <v>1323</v>
      </c>
      <c r="G75">
        <v>2009</v>
      </c>
      <c r="H75">
        <v>1703</v>
      </c>
      <c r="I75" s="40" t="s">
        <v>1005</v>
      </c>
      <c r="J75" s="40" t="s">
        <v>1324</v>
      </c>
      <c r="K75" s="40" t="s">
        <v>1325</v>
      </c>
      <c r="L75" s="39">
        <v>40232</v>
      </c>
      <c r="M75">
        <v>6</v>
      </c>
      <c r="N75">
        <v>3</v>
      </c>
      <c r="O75">
        <v>111</v>
      </c>
      <c r="P75" s="40" t="s">
        <v>1008</v>
      </c>
      <c r="Q75">
        <v>1</v>
      </c>
      <c r="R75">
        <v>1</v>
      </c>
      <c r="S75">
        <v>2</v>
      </c>
    </row>
    <row r="76" spans="1:19">
      <c r="A76" s="39">
        <v>40350</v>
      </c>
      <c r="B76">
        <v>1</v>
      </c>
      <c r="D76" s="40" t="s">
        <v>1326</v>
      </c>
      <c r="E76" s="40" t="s">
        <v>1327</v>
      </c>
      <c r="F76" s="40" t="s">
        <v>1328</v>
      </c>
      <c r="G76">
        <v>2009</v>
      </c>
      <c r="H76">
        <v>1703</v>
      </c>
      <c r="I76" s="40" t="s">
        <v>1005</v>
      </c>
      <c r="J76" s="40" t="s">
        <v>1329</v>
      </c>
      <c r="K76" s="40" t="s">
        <v>1330</v>
      </c>
      <c r="L76" s="39">
        <v>40294</v>
      </c>
      <c r="M76">
        <v>5</v>
      </c>
      <c r="N76">
        <v>4</v>
      </c>
      <c r="O76">
        <v>111</v>
      </c>
      <c r="P76" s="40" t="s">
        <v>1008</v>
      </c>
      <c r="Q76">
        <v>1</v>
      </c>
      <c r="R76">
        <v>1</v>
      </c>
      <c r="S76">
        <v>2</v>
      </c>
    </row>
    <row r="77" spans="1:19">
      <c r="A77" s="39">
        <v>40350</v>
      </c>
      <c r="B77">
        <v>1</v>
      </c>
      <c r="D77" s="40" t="s">
        <v>1331</v>
      </c>
      <c r="E77" s="40" t="s">
        <v>1332</v>
      </c>
      <c r="F77" s="40" t="s">
        <v>1333</v>
      </c>
      <c r="G77">
        <v>2009</v>
      </c>
      <c r="H77">
        <v>1703</v>
      </c>
      <c r="I77" s="40" t="s">
        <v>1005</v>
      </c>
      <c r="J77" s="40" t="s">
        <v>1334</v>
      </c>
      <c r="K77" s="40" t="s">
        <v>1335</v>
      </c>
      <c r="L77" s="39">
        <v>40261</v>
      </c>
      <c r="M77">
        <v>6</v>
      </c>
      <c r="N77">
        <v>3</v>
      </c>
      <c r="O77">
        <v>111</v>
      </c>
      <c r="P77" s="40" t="s">
        <v>1008</v>
      </c>
      <c r="Q77">
        <v>1</v>
      </c>
      <c r="R77">
        <v>1</v>
      </c>
      <c r="S77">
        <v>2</v>
      </c>
    </row>
    <row r="78" spans="1:19">
      <c r="A78" s="39">
        <v>40353</v>
      </c>
      <c r="B78">
        <v>1</v>
      </c>
      <c r="D78" s="40" t="s">
        <v>1336</v>
      </c>
      <c r="E78" s="40" t="s">
        <v>1337</v>
      </c>
      <c r="F78" s="40" t="s">
        <v>1338</v>
      </c>
      <c r="G78">
        <v>2009</v>
      </c>
      <c r="H78">
        <v>1703</v>
      </c>
      <c r="I78" s="40" t="s">
        <v>1005</v>
      </c>
      <c r="J78" s="40" t="s">
        <v>1339</v>
      </c>
      <c r="K78" s="40" t="s">
        <v>1340</v>
      </c>
      <c r="L78" s="39">
        <v>40266</v>
      </c>
      <c r="M78">
        <v>8</v>
      </c>
      <c r="N78">
        <v>0</v>
      </c>
      <c r="O78">
        <v>111</v>
      </c>
      <c r="P78" s="40" t="s">
        <v>1008</v>
      </c>
      <c r="Q78">
        <v>1</v>
      </c>
      <c r="R78">
        <v>1</v>
      </c>
      <c r="S78">
        <v>2</v>
      </c>
    </row>
    <row r="79" spans="1:19">
      <c r="A79" s="39">
        <v>40353</v>
      </c>
      <c r="B79">
        <v>1</v>
      </c>
      <c r="D79" s="40" t="s">
        <v>1341</v>
      </c>
      <c r="E79" s="40" t="s">
        <v>1342</v>
      </c>
      <c r="F79" s="40" t="s">
        <v>1343</v>
      </c>
      <c r="G79">
        <v>2009</v>
      </c>
      <c r="H79">
        <v>1703</v>
      </c>
      <c r="I79" s="40" t="s">
        <v>1005</v>
      </c>
      <c r="J79" s="40" t="s">
        <v>1344</v>
      </c>
      <c r="K79" s="40" t="s">
        <v>1345</v>
      </c>
      <c r="L79" s="39">
        <v>40197</v>
      </c>
      <c r="M79">
        <v>7</v>
      </c>
      <c r="N79">
        <v>2</v>
      </c>
      <c r="O79">
        <v>111</v>
      </c>
      <c r="P79" s="40" t="s">
        <v>1008</v>
      </c>
      <c r="Q79">
        <v>1</v>
      </c>
      <c r="R79">
        <v>1</v>
      </c>
      <c r="S79">
        <v>2</v>
      </c>
    </row>
    <row r="80" spans="1:19">
      <c r="A80" s="39">
        <v>40353</v>
      </c>
      <c r="B80">
        <v>1</v>
      </c>
      <c r="D80" s="40" t="s">
        <v>1346</v>
      </c>
      <c r="E80" s="40" t="s">
        <v>1347</v>
      </c>
      <c r="F80" s="40" t="s">
        <v>1348</v>
      </c>
      <c r="G80">
        <v>2009</v>
      </c>
      <c r="H80">
        <v>1703</v>
      </c>
      <c r="I80" s="40" t="s">
        <v>1005</v>
      </c>
      <c r="J80" s="40" t="s">
        <v>1349</v>
      </c>
      <c r="K80" s="40" t="s">
        <v>1350</v>
      </c>
      <c r="L80" s="39">
        <v>40261</v>
      </c>
      <c r="M80">
        <v>5</v>
      </c>
      <c r="N80">
        <v>4</v>
      </c>
      <c r="O80">
        <v>111</v>
      </c>
      <c r="P80" s="40" t="s">
        <v>1008</v>
      </c>
      <c r="Q80">
        <v>2</v>
      </c>
      <c r="R80">
        <v>1</v>
      </c>
      <c r="S80">
        <v>1</v>
      </c>
    </row>
    <row r="81" spans="1:19">
      <c r="A81" s="39">
        <v>40353</v>
      </c>
      <c r="B81">
        <v>1</v>
      </c>
      <c r="D81" s="40" t="s">
        <v>1351</v>
      </c>
      <c r="E81" s="40" t="s">
        <v>1352</v>
      </c>
      <c r="F81" s="40" t="s">
        <v>1353</v>
      </c>
      <c r="G81">
        <v>2009</v>
      </c>
      <c r="H81">
        <v>1703</v>
      </c>
      <c r="I81" s="40" t="s">
        <v>1005</v>
      </c>
      <c r="J81" s="40" t="s">
        <v>1354</v>
      </c>
      <c r="K81" s="40" t="s">
        <v>1355</v>
      </c>
      <c r="L81" s="39">
        <v>40155</v>
      </c>
      <c r="M81">
        <v>9</v>
      </c>
      <c r="N81">
        <v>0</v>
      </c>
      <c r="O81">
        <v>111</v>
      </c>
      <c r="P81" s="40" t="s">
        <v>1008</v>
      </c>
      <c r="Q81">
        <v>1</v>
      </c>
      <c r="R81">
        <v>1</v>
      </c>
      <c r="S81">
        <v>2</v>
      </c>
    </row>
    <row r="82" spans="1:19">
      <c r="A82" s="39">
        <v>40357</v>
      </c>
      <c r="B82">
        <v>1</v>
      </c>
      <c r="D82" s="40" t="s">
        <v>1356</v>
      </c>
      <c r="E82" s="40" t="s">
        <v>1357</v>
      </c>
      <c r="F82" s="40" t="s">
        <v>1358</v>
      </c>
      <c r="G82">
        <v>2009</v>
      </c>
      <c r="H82">
        <v>1703</v>
      </c>
      <c r="I82" s="40" t="s">
        <v>1005</v>
      </c>
      <c r="J82" s="40" t="s">
        <v>1359</v>
      </c>
      <c r="K82" s="40" t="s">
        <v>1360</v>
      </c>
      <c r="L82" s="39">
        <v>40491</v>
      </c>
      <c r="M82">
        <v>9</v>
      </c>
      <c r="N82">
        <v>0</v>
      </c>
      <c r="O82">
        <v>111</v>
      </c>
      <c r="P82" s="40" t="s">
        <v>1008</v>
      </c>
      <c r="Q82">
        <v>1</v>
      </c>
      <c r="R82">
        <v>1</v>
      </c>
      <c r="S82">
        <v>2</v>
      </c>
    </row>
    <row r="83" spans="1:19">
      <c r="A83" s="39">
        <v>40155</v>
      </c>
      <c r="B83">
        <v>1</v>
      </c>
      <c r="D83" s="40" t="s">
        <v>1361</v>
      </c>
      <c r="E83" s="40" t="s">
        <v>1362</v>
      </c>
      <c r="F83" s="40" t="s">
        <v>1363</v>
      </c>
      <c r="G83">
        <v>2009</v>
      </c>
      <c r="H83">
        <v>1703</v>
      </c>
      <c r="I83" s="40" t="s">
        <v>1005</v>
      </c>
      <c r="J83" s="40" t="s">
        <v>1364</v>
      </c>
      <c r="K83" s="40" t="s">
        <v>1365</v>
      </c>
      <c r="L83" s="39">
        <v>40119</v>
      </c>
      <c r="M83">
        <v>8</v>
      </c>
      <c r="N83">
        <v>0</v>
      </c>
      <c r="O83">
        <v>111</v>
      </c>
      <c r="P83" s="40" t="s">
        <v>1008</v>
      </c>
    </row>
    <row r="84" spans="1:19">
      <c r="A84" s="39">
        <v>40346</v>
      </c>
      <c r="B84">
        <v>1</v>
      </c>
      <c r="D84" s="40" t="s">
        <v>1366</v>
      </c>
      <c r="E84" s="40" t="s">
        <v>1367</v>
      </c>
      <c r="F84" s="40" t="s">
        <v>1368</v>
      </c>
      <c r="G84">
        <v>2009</v>
      </c>
      <c r="H84">
        <v>1703</v>
      </c>
      <c r="I84" s="40" t="s">
        <v>1005</v>
      </c>
      <c r="J84" s="40" t="s">
        <v>1369</v>
      </c>
      <c r="K84" s="40" t="s">
        <v>1370</v>
      </c>
      <c r="L84" s="39">
        <v>40267</v>
      </c>
      <c r="M84">
        <v>7</v>
      </c>
      <c r="N84">
        <v>1</v>
      </c>
      <c r="O84">
        <v>111</v>
      </c>
      <c r="P84" s="40" t="s">
        <v>1008</v>
      </c>
    </row>
    <row r="85" spans="1:19">
      <c r="A85" s="39">
        <v>40289</v>
      </c>
      <c r="B85">
        <v>7</v>
      </c>
      <c r="D85" s="40" t="s">
        <v>1371</v>
      </c>
      <c r="E85" s="40" t="s">
        <v>1372</v>
      </c>
      <c r="F85" s="40" t="s">
        <v>1373</v>
      </c>
      <c r="G85">
        <v>2009</v>
      </c>
      <c r="H85">
        <v>1703</v>
      </c>
      <c r="I85" s="40" t="s">
        <v>1005</v>
      </c>
      <c r="J85" s="40" t="s">
        <v>1374</v>
      </c>
      <c r="K85" s="40" t="s">
        <v>1375</v>
      </c>
      <c r="L85" s="39">
        <v>40198</v>
      </c>
      <c r="M85">
        <v>5</v>
      </c>
      <c r="N85">
        <v>3</v>
      </c>
      <c r="O85">
        <v>111</v>
      </c>
      <c r="P85" s="40" t="s">
        <v>1008</v>
      </c>
      <c r="Q85">
        <v>1</v>
      </c>
      <c r="R85">
        <v>1</v>
      </c>
      <c r="S85">
        <v>2</v>
      </c>
    </row>
    <row r="86" spans="1:19">
      <c r="A86" s="39">
        <v>40357</v>
      </c>
      <c r="B86">
        <v>7</v>
      </c>
      <c r="D86" s="40" t="s">
        <v>1376</v>
      </c>
      <c r="E86" s="40" t="s">
        <v>1377</v>
      </c>
      <c r="F86" s="40" t="s">
        <v>1378</v>
      </c>
      <c r="G86">
        <v>2009</v>
      </c>
      <c r="H86">
        <v>1703</v>
      </c>
      <c r="I86" s="40" t="s">
        <v>1005</v>
      </c>
      <c r="J86" s="40" t="s">
        <v>1379</v>
      </c>
      <c r="K86" s="40" t="s">
        <v>1380</v>
      </c>
      <c r="L86" s="39">
        <v>40519</v>
      </c>
      <c r="M86">
        <v>5</v>
      </c>
      <c r="N86">
        <v>4</v>
      </c>
      <c r="O86">
        <v>111</v>
      </c>
      <c r="P86" s="40" t="s">
        <v>1008</v>
      </c>
      <c r="Q86">
        <v>1</v>
      </c>
      <c r="R86">
        <v>1</v>
      </c>
      <c r="S86">
        <v>2</v>
      </c>
    </row>
    <row r="87" spans="1:19">
      <c r="A87" s="39"/>
      <c r="D87" s="40"/>
      <c r="E87" s="40"/>
      <c r="F87" s="40"/>
      <c r="I87" s="40"/>
      <c r="J87" s="40"/>
      <c r="K87" s="40"/>
      <c r="L87" s="39"/>
      <c r="P87" s="40"/>
    </row>
    <row r="88" spans="1:19">
      <c r="A88" s="39"/>
      <c r="D88" s="40"/>
      <c r="E88" s="40"/>
      <c r="F88" s="40"/>
      <c r="I88" s="40"/>
      <c r="J88" s="40"/>
      <c r="K88" s="40"/>
      <c r="L88" s="39"/>
      <c r="P88" s="40"/>
    </row>
    <row r="89" spans="1:19">
      <c r="A89" s="39">
        <v>40154</v>
      </c>
      <c r="B89">
        <v>2</v>
      </c>
      <c r="D89" s="40" t="s">
        <v>1381</v>
      </c>
      <c r="E89" s="40" t="s">
        <v>1382</v>
      </c>
      <c r="F89" s="40" t="s">
        <v>1383</v>
      </c>
      <c r="G89">
        <v>2009</v>
      </c>
      <c r="H89">
        <v>1703</v>
      </c>
      <c r="I89" s="40" t="s">
        <v>1005</v>
      </c>
      <c r="J89" s="40" t="s">
        <v>1384</v>
      </c>
      <c r="K89" s="40" t="s">
        <v>1385</v>
      </c>
      <c r="M89">
        <v>7</v>
      </c>
      <c r="N89">
        <v>2</v>
      </c>
      <c r="O89">
        <v>111</v>
      </c>
      <c r="P89" s="40" t="s">
        <v>1008</v>
      </c>
      <c r="Q89">
        <v>1</v>
      </c>
      <c r="R89">
        <v>1</v>
      </c>
      <c r="S89">
        <v>2</v>
      </c>
    </row>
    <row r="90" spans="1:19">
      <c r="A90" s="39">
        <v>40147</v>
      </c>
      <c r="B90">
        <v>2</v>
      </c>
      <c r="D90" s="40" t="s">
        <v>1386</v>
      </c>
      <c r="E90" s="40" t="s">
        <v>1387</v>
      </c>
      <c r="F90" s="40" t="s">
        <v>1388</v>
      </c>
      <c r="G90">
        <v>2009</v>
      </c>
      <c r="H90">
        <v>1703</v>
      </c>
      <c r="I90" s="40" t="s">
        <v>1005</v>
      </c>
      <c r="J90" s="40" t="s">
        <v>1389</v>
      </c>
      <c r="K90" s="40" t="s">
        <v>1390</v>
      </c>
      <c r="M90">
        <v>9</v>
      </c>
      <c r="N90">
        <v>0</v>
      </c>
      <c r="O90">
        <v>111</v>
      </c>
      <c r="P90" s="40" t="s">
        <v>1008</v>
      </c>
      <c r="Q90">
        <v>1</v>
      </c>
      <c r="R90">
        <v>1</v>
      </c>
      <c r="S90">
        <v>2</v>
      </c>
    </row>
    <row r="91" spans="1:19">
      <c r="A91" s="39">
        <v>40133</v>
      </c>
      <c r="B91">
        <v>2</v>
      </c>
      <c r="D91" s="40" t="s">
        <v>1391</v>
      </c>
      <c r="E91" s="40" t="s">
        <v>1392</v>
      </c>
      <c r="F91" s="40" t="s">
        <v>1393</v>
      </c>
      <c r="G91">
        <v>2009</v>
      </c>
      <c r="H91">
        <v>1703</v>
      </c>
      <c r="I91" s="40" t="s">
        <v>1005</v>
      </c>
      <c r="J91" s="40" t="s">
        <v>1394</v>
      </c>
      <c r="K91" s="40" t="s">
        <v>1395</v>
      </c>
      <c r="M91">
        <v>9</v>
      </c>
      <c r="N91">
        <v>0</v>
      </c>
      <c r="O91">
        <v>111</v>
      </c>
      <c r="P91" s="40" t="s">
        <v>1008</v>
      </c>
      <c r="Q91">
        <v>1</v>
      </c>
      <c r="R91">
        <v>1</v>
      </c>
      <c r="S91">
        <v>2</v>
      </c>
    </row>
    <row r="92" spans="1:19">
      <c r="A92" s="39">
        <v>40106</v>
      </c>
      <c r="B92">
        <v>2</v>
      </c>
      <c r="D92" s="40" t="s">
        <v>1396</v>
      </c>
      <c r="E92" s="40" t="s">
        <v>1397</v>
      </c>
      <c r="F92" s="40" t="s">
        <v>1398</v>
      </c>
      <c r="G92">
        <v>2009</v>
      </c>
      <c r="H92">
        <v>1703</v>
      </c>
      <c r="I92" s="40" t="s">
        <v>1005</v>
      </c>
      <c r="J92" s="40" t="s">
        <v>1399</v>
      </c>
      <c r="K92" s="40" t="s">
        <v>1400</v>
      </c>
      <c r="M92">
        <v>9</v>
      </c>
      <c r="N92">
        <v>0</v>
      </c>
      <c r="O92">
        <v>111</v>
      </c>
      <c r="P92" s="40" t="s">
        <v>1008</v>
      </c>
      <c r="Q92">
        <v>1</v>
      </c>
      <c r="R92">
        <v>1</v>
      </c>
      <c r="S92">
        <v>2</v>
      </c>
    </row>
    <row r="93" spans="1:19">
      <c r="A93" s="39">
        <v>40197</v>
      </c>
      <c r="B93">
        <v>2</v>
      </c>
      <c r="D93" s="40" t="s">
        <v>1401</v>
      </c>
      <c r="E93" s="40" t="s">
        <v>1402</v>
      </c>
      <c r="F93" s="40" t="s">
        <v>1403</v>
      </c>
      <c r="G93">
        <v>2009</v>
      </c>
      <c r="H93">
        <v>1703</v>
      </c>
      <c r="I93" s="40" t="s">
        <v>1005</v>
      </c>
      <c r="J93" s="40" t="s">
        <v>1404</v>
      </c>
      <c r="K93" s="40" t="s">
        <v>1405</v>
      </c>
      <c r="M93">
        <v>7</v>
      </c>
      <c r="N93">
        <v>2</v>
      </c>
      <c r="O93">
        <v>111</v>
      </c>
      <c r="P93" s="40" t="s">
        <v>1008</v>
      </c>
      <c r="Q93">
        <v>1</v>
      </c>
      <c r="R93">
        <v>1</v>
      </c>
      <c r="S93">
        <v>2</v>
      </c>
    </row>
    <row r="94" spans="1:19">
      <c r="A94" s="39">
        <v>40191</v>
      </c>
      <c r="B94">
        <v>2</v>
      </c>
      <c r="D94" s="40" t="s">
        <v>1406</v>
      </c>
      <c r="E94" s="40" t="s">
        <v>1407</v>
      </c>
      <c r="F94" s="40" t="s">
        <v>1408</v>
      </c>
      <c r="G94">
        <v>2009</v>
      </c>
      <c r="H94">
        <v>1703</v>
      </c>
      <c r="I94" s="40" t="s">
        <v>1005</v>
      </c>
      <c r="J94" s="40" t="s">
        <v>1409</v>
      </c>
      <c r="K94" s="40" t="s">
        <v>1410</v>
      </c>
      <c r="M94">
        <v>5</v>
      </c>
      <c r="N94">
        <v>4</v>
      </c>
      <c r="O94">
        <v>111</v>
      </c>
      <c r="P94" s="40" t="s">
        <v>1008</v>
      </c>
      <c r="Q94">
        <v>1</v>
      </c>
      <c r="R94">
        <v>1</v>
      </c>
      <c r="S94">
        <v>2</v>
      </c>
    </row>
    <row r="95" spans="1:19">
      <c r="A95" s="39">
        <v>40189</v>
      </c>
      <c r="B95">
        <v>2</v>
      </c>
      <c r="D95" s="40" t="s">
        <v>1411</v>
      </c>
      <c r="E95" s="40" t="s">
        <v>1412</v>
      </c>
      <c r="F95" s="40" t="s">
        <v>1413</v>
      </c>
      <c r="G95">
        <v>2009</v>
      </c>
      <c r="H95">
        <v>1703</v>
      </c>
      <c r="I95" s="40" t="s">
        <v>1005</v>
      </c>
      <c r="J95" s="40" t="s">
        <v>1414</v>
      </c>
      <c r="K95" s="40" t="s">
        <v>1415</v>
      </c>
      <c r="M95">
        <v>9</v>
      </c>
      <c r="N95">
        <v>0</v>
      </c>
      <c r="O95">
        <v>111</v>
      </c>
      <c r="P95" s="40" t="s">
        <v>1008</v>
      </c>
      <c r="Q95">
        <v>1</v>
      </c>
      <c r="R95">
        <v>1</v>
      </c>
      <c r="S95">
        <v>2</v>
      </c>
    </row>
    <row r="96" spans="1:19">
      <c r="A96" s="39">
        <v>40231</v>
      </c>
      <c r="B96">
        <v>2</v>
      </c>
      <c r="D96" s="40" t="s">
        <v>1416</v>
      </c>
      <c r="E96" s="40" t="s">
        <v>1417</v>
      </c>
      <c r="F96" s="40" t="s">
        <v>1418</v>
      </c>
      <c r="G96">
        <v>2009</v>
      </c>
      <c r="H96">
        <v>1703</v>
      </c>
      <c r="I96" s="40" t="s">
        <v>1005</v>
      </c>
      <c r="J96" s="40" t="s">
        <v>1419</v>
      </c>
      <c r="K96" s="40" t="s">
        <v>1420</v>
      </c>
      <c r="M96">
        <v>9</v>
      </c>
      <c r="N96">
        <v>0</v>
      </c>
      <c r="O96">
        <v>111</v>
      </c>
      <c r="P96" s="40" t="s">
        <v>1008</v>
      </c>
      <c r="Q96">
        <v>1</v>
      </c>
      <c r="R96">
        <v>1</v>
      </c>
      <c r="S96">
        <v>2</v>
      </c>
    </row>
    <row r="97" spans="1:19">
      <c r="A97" s="39">
        <v>40231</v>
      </c>
      <c r="B97">
        <v>2</v>
      </c>
      <c r="D97" s="40" t="s">
        <v>1421</v>
      </c>
      <c r="E97" s="40" t="s">
        <v>1422</v>
      </c>
      <c r="F97" s="40" t="s">
        <v>1423</v>
      </c>
      <c r="G97">
        <v>2009</v>
      </c>
      <c r="H97">
        <v>1703</v>
      </c>
      <c r="I97" s="40" t="s">
        <v>1005</v>
      </c>
      <c r="J97" s="40" t="s">
        <v>1424</v>
      </c>
      <c r="K97" s="40" t="s">
        <v>1425</v>
      </c>
      <c r="M97">
        <v>9</v>
      </c>
      <c r="N97">
        <v>0</v>
      </c>
      <c r="O97">
        <v>111</v>
      </c>
      <c r="P97" s="40" t="s">
        <v>1008</v>
      </c>
      <c r="Q97">
        <v>1</v>
      </c>
      <c r="R97">
        <v>1</v>
      </c>
      <c r="S97">
        <v>2</v>
      </c>
    </row>
    <row r="98" spans="1:19">
      <c r="A98" s="39">
        <v>40238</v>
      </c>
      <c r="B98">
        <v>2</v>
      </c>
      <c r="D98" s="40" t="s">
        <v>1426</v>
      </c>
      <c r="E98" s="40" t="s">
        <v>1427</v>
      </c>
      <c r="F98" s="40" t="s">
        <v>1428</v>
      </c>
      <c r="G98">
        <v>2009</v>
      </c>
      <c r="H98">
        <v>1703</v>
      </c>
      <c r="I98" s="40" t="s">
        <v>1005</v>
      </c>
      <c r="J98" s="40" t="s">
        <v>1429</v>
      </c>
      <c r="K98" s="40" t="s">
        <v>1430</v>
      </c>
      <c r="M98">
        <v>9</v>
      </c>
      <c r="N98">
        <v>0</v>
      </c>
      <c r="O98">
        <v>111</v>
      </c>
      <c r="P98" s="40" t="s">
        <v>1008</v>
      </c>
      <c r="Q98">
        <v>1</v>
      </c>
      <c r="R98">
        <v>1</v>
      </c>
      <c r="S98">
        <v>2</v>
      </c>
    </row>
    <row r="99" spans="1:19">
      <c r="A99" s="39">
        <v>40315</v>
      </c>
      <c r="B99">
        <v>2</v>
      </c>
      <c r="D99" s="40" t="s">
        <v>1431</v>
      </c>
      <c r="E99" s="40" t="s">
        <v>1432</v>
      </c>
      <c r="F99" s="40" t="s">
        <v>1433</v>
      </c>
      <c r="G99">
        <v>2009</v>
      </c>
      <c r="H99">
        <v>1703</v>
      </c>
      <c r="I99" s="40" t="s">
        <v>1005</v>
      </c>
      <c r="J99" s="40" t="s">
        <v>1434</v>
      </c>
      <c r="K99" s="40" t="s">
        <v>1435</v>
      </c>
      <c r="L99" s="39">
        <v>40126</v>
      </c>
      <c r="M99">
        <v>9</v>
      </c>
      <c r="N99">
        <v>0</v>
      </c>
      <c r="O99">
        <v>111</v>
      </c>
      <c r="P99" s="40" t="s">
        <v>1008</v>
      </c>
      <c r="Q99">
        <v>1</v>
      </c>
      <c r="R99">
        <v>1</v>
      </c>
      <c r="S99">
        <v>2</v>
      </c>
    </row>
    <row r="100" spans="1:19">
      <c r="A100" s="39">
        <v>40322</v>
      </c>
      <c r="B100">
        <v>2</v>
      </c>
      <c r="D100" s="40" t="s">
        <v>1436</v>
      </c>
      <c r="E100" s="40" t="s">
        <v>1437</v>
      </c>
      <c r="F100" s="40" t="s">
        <v>1438</v>
      </c>
      <c r="G100">
        <v>2009</v>
      </c>
      <c r="H100">
        <v>1703</v>
      </c>
      <c r="I100" s="40" t="s">
        <v>1005</v>
      </c>
      <c r="J100" s="40" t="s">
        <v>1439</v>
      </c>
      <c r="K100" s="40" t="s">
        <v>1440</v>
      </c>
      <c r="M100">
        <v>7</v>
      </c>
      <c r="N100">
        <v>2</v>
      </c>
      <c r="O100">
        <v>111</v>
      </c>
      <c r="P100" s="40" t="s">
        <v>1008</v>
      </c>
      <c r="Q100">
        <v>1</v>
      </c>
      <c r="R100">
        <v>1</v>
      </c>
      <c r="S100">
        <v>2</v>
      </c>
    </row>
    <row r="101" spans="1:19">
      <c r="A101" s="39">
        <v>40336</v>
      </c>
      <c r="B101">
        <v>2</v>
      </c>
      <c r="D101" s="40" t="s">
        <v>1441</v>
      </c>
      <c r="E101" s="40" t="s">
        <v>1442</v>
      </c>
      <c r="F101" s="40" t="s">
        <v>1443</v>
      </c>
      <c r="G101">
        <v>2009</v>
      </c>
      <c r="H101">
        <v>1703</v>
      </c>
      <c r="I101" s="40" t="s">
        <v>1005</v>
      </c>
      <c r="J101" s="40" t="s">
        <v>1444</v>
      </c>
      <c r="K101" s="40" t="s">
        <v>1445</v>
      </c>
      <c r="M101">
        <v>9</v>
      </c>
      <c r="N101">
        <v>0</v>
      </c>
      <c r="O101">
        <v>111</v>
      </c>
      <c r="P101" s="40" t="s">
        <v>1008</v>
      </c>
      <c r="Q101">
        <v>1</v>
      </c>
      <c r="R101">
        <v>1</v>
      </c>
      <c r="S101">
        <v>2</v>
      </c>
    </row>
    <row r="102" spans="1:19">
      <c r="A102" s="39">
        <v>40358</v>
      </c>
      <c r="B102">
        <v>2</v>
      </c>
      <c r="D102" s="40" t="s">
        <v>1446</v>
      </c>
      <c r="E102" s="40" t="s">
        <v>1447</v>
      </c>
      <c r="F102" s="40" t="s">
        <v>1448</v>
      </c>
      <c r="G102">
        <v>2009</v>
      </c>
      <c r="H102">
        <v>1703</v>
      </c>
      <c r="I102" s="40" t="s">
        <v>1005</v>
      </c>
      <c r="J102" s="40" t="s">
        <v>1449</v>
      </c>
      <c r="K102" s="40" t="s">
        <v>1450</v>
      </c>
      <c r="M102">
        <v>5</v>
      </c>
      <c r="N102">
        <v>2</v>
      </c>
      <c r="O102">
        <v>111</v>
      </c>
      <c r="P102" s="40" t="s">
        <v>1008</v>
      </c>
      <c r="Q102">
        <v>7</v>
      </c>
      <c r="R102">
        <v>1</v>
      </c>
    </row>
    <row r="103" spans="1:19">
      <c r="A103" s="39">
        <v>40203</v>
      </c>
      <c r="B103">
        <v>6</v>
      </c>
      <c r="D103" s="40" t="s">
        <v>1451</v>
      </c>
      <c r="E103" s="40" t="s">
        <v>1452</v>
      </c>
      <c r="F103" s="40" t="s">
        <v>1453</v>
      </c>
      <c r="G103">
        <v>2009</v>
      </c>
      <c r="H103">
        <v>1703</v>
      </c>
      <c r="I103" s="40" t="s">
        <v>1005</v>
      </c>
      <c r="J103" s="40" t="s">
        <v>1454</v>
      </c>
      <c r="K103" s="40" t="s">
        <v>1455</v>
      </c>
      <c r="L103" s="39">
        <v>40189</v>
      </c>
      <c r="M103">
        <v>9</v>
      </c>
      <c r="N103">
        <v>0</v>
      </c>
      <c r="O103">
        <v>111</v>
      </c>
      <c r="P103" s="40" t="s">
        <v>1008</v>
      </c>
      <c r="Q103">
        <v>1</v>
      </c>
      <c r="R103">
        <v>1</v>
      </c>
      <c r="S103">
        <v>2</v>
      </c>
    </row>
    <row r="104" spans="1:19">
      <c r="A104" s="39">
        <v>40322</v>
      </c>
      <c r="B104">
        <v>6</v>
      </c>
      <c r="D104" s="40" t="s">
        <v>1456</v>
      </c>
      <c r="E104" s="40" t="s">
        <v>1457</v>
      </c>
      <c r="F104" s="40" t="s">
        <v>1458</v>
      </c>
      <c r="G104">
        <v>2009</v>
      </c>
      <c r="H104">
        <v>1703</v>
      </c>
      <c r="I104" s="40" t="s">
        <v>1005</v>
      </c>
      <c r="J104" s="40" t="s">
        <v>1459</v>
      </c>
      <c r="K104" s="40" t="s">
        <v>1460</v>
      </c>
      <c r="L104" s="39">
        <v>40268</v>
      </c>
      <c r="M104">
        <v>5</v>
      </c>
      <c r="N104">
        <v>4</v>
      </c>
      <c r="O104">
        <v>111</v>
      </c>
      <c r="P104" s="40" t="s">
        <v>1008</v>
      </c>
      <c r="Q104">
        <v>1</v>
      </c>
      <c r="R104">
        <v>1</v>
      </c>
      <c r="S104">
        <v>2</v>
      </c>
    </row>
    <row r="105" spans="1:19">
      <c r="A105" s="39">
        <v>40182</v>
      </c>
      <c r="B105">
        <v>6</v>
      </c>
      <c r="D105" s="40" t="s">
        <v>1461</v>
      </c>
      <c r="E105" s="40" t="s">
        <v>1462</v>
      </c>
      <c r="F105" s="40" t="s">
        <v>1463</v>
      </c>
      <c r="G105">
        <v>2009</v>
      </c>
      <c r="H105">
        <v>1703</v>
      </c>
      <c r="I105" s="40" t="s">
        <v>1005</v>
      </c>
      <c r="J105" s="40" t="s">
        <v>1464</v>
      </c>
      <c r="K105" s="40" t="s">
        <v>1465</v>
      </c>
      <c r="M105">
        <v>9</v>
      </c>
      <c r="N105">
        <v>0</v>
      </c>
      <c r="O105">
        <v>111</v>
      </c>
      <c r="P105" s="40" t="s">
        <v>1008</v>
      </c>
      <c r="Q105">
        <v>1</v>
      </c>
      <c r="R105">
        <v>1</v>
      </c>
      <c r="S105">
        <v>2</v>
      </c>
    </row>
    <row r="108" spans="1:19">
      <c r="A108" s="31" t="s">
        <v>35</v>
      </c>
      <c r="B108" s="31" t="s">
        <v>36</v>
      </c>
      <c r="C108" s="31" t="s">
        <v>37</v>
      </c>
      <c r="D108" s="31" t="s">
        <v>38</v>
      </c>
      <c r="E108" s="31" t="s">
        <v>39</v>
      </c>
      <c r="F108" s="31" t="s">
        <v>40</v>
      </c>
      <c r="G108" s="31" t="s">
        <v>41</v>
      </c>
      <c r="H108" s="31" t="s">
        <v>42</v>
      </c>
      <c r="I108" s="31" t="s">
        <v>43</v>
      </c>
      <c r="J108" s="41" t="s">
        <v>44</v>
      </c>
    </row>
    <row r="109" spans="1:19">
      <c r="A109" s="27">
        <f>HYPERLINK("http://www.westlaw.com/Find/Default.wl?rs=dfa1.0&amp;vr=2.0&amp;DB=708&amp;FindType=Y&amp;SerialNum=2022052219",21)</f>
        <v>21</v>
      </c>
      <c r="B109" s="21" t="s">
        <v>628</v>
      </c>
      <c r="C109" s="36" t="s">
        <v>629</v>
      </c>
      <c r="D109" s="13"/>
      <c r="E109" s="13"/>
      <c r="F109" s="23" t="s">
        <v>78</v>
      </c>
      <c r="G109" s="23" t="s">
        <v>167</v>
      </c>
      <c r="H109" s="23" t="s">
        <v>630</v>
      </c>
      <c r="I109" s="23" t="s">
        <v>49</v>
      </c>
      <c r="J109" s="13"/>
    </row>
    <row r="110" spans="1:19">
      <c r="A110" s="27">
        <f>HYPERLINK("http://www.westlaw.com/Find/Default.wl?rs=dfa1.0&amp;vr=2.0&amp;DB=708&amp;FindType=Y&amp;SerialNum=2022052221",22)</f>
        <v>22</v>
      </c>
      <c r="B110" s="21" t="s">
        <v>631</v>
      </c>
      <c r="C110" s="36" t="s">
        <v>632</v>
      </c>
      <c r="D110" s="13"/>
      <c r="E110" s="13"/>
      <c r="F110" s="23" t="s">
        <v>78</v>
      </c>
      <c r="G110" s="23" t="s">
        <v>167</v>
      </c>
      <c r="H110" s="23" t="s">
        <v>633</v>
      </c>
      <c r="I110" s="23" t="s">
        <v>49</v>
      </c>
      <c r="J110" s="13"/>
    </row>
    <row r="111" spans="1:19">
      <c r="A111" s="27">
        <f>HYPERLINK("http://www.westlaw.com/Find/Default.wl?rs=dfa1.0&amp;vr=2.0&amp;DB=708&amp;FindType=Y&amp;SerialNum=2021655200",30)</f>
        <v>30</v>
      </c>
      <c r="B111" s="21" t="s">
        <v>634</v>
      </c>
      <c r="C111" s="36" t="s">
        <v>635</v>
      </c>
      <c r="D111" s="13"/>
      <c r="E111" s="13"/>
      <c r="F111" s="23" t="s">
        <v>78</v>
      </c>
      <c r="G111" s="23" t="s">
        <v>167</v>
      </c>
      <c r="H111" s="23" t="s">
        <v>636</v>
      </c>
      <c r="I111" s="23" t="s">
        <v>49</v>
      </c>
      <c r="J111" s="13"/>
    </row>
    <row r="112" spans="1:19" ht="24">
      <c r="A112" s="27">
        <f>HYPERLINK("http://www.westlaw.com/Find/Default.wl?rs=dfa1.0&amp;vr=2.0&amp;DB=708&amp;FindType=Y&amp;SerialNum=2021636917",31)</f>
        <v>31</v>
      </c>
      <c r="B112" s="21" t="s">
        <v>637</v>
      </c>
      <c r="C112" s="36" t="s">
        <v>638</v>
      </c>
      <c r="D112" s="13"/>
      <c r="E112" s="13"/>
      <c r="F112" s="23" t="s">
        <v>78</v>
      </c>
      <c r="G112" s="23" t="s">
        <v>79</v>
      </c>
      <c r="H112" s="23" t="s">
        <v>47</v>
      </c>
      <c r="I112" s="23" t="s">
        <v>49</v>
      </c>
      <c r="J112" s="13"/>
    </row>
    <row r="113" spans="1:10">
      <c r="A113" s="27">
        <f>HYPERLINK("http://www.westlaw.com/Find/Default.wl?rs=dfa1.0&amp;vr=2.0&amp;DB=708&amp;FindType=Y&amp;SerialNum=2021166033",42)</f>
        <v>42</v>
      </c>
      <c r="B113" s="21" t="s">
        <v>639</v>
      </c>
      <c r="C113" s="36" t="s">
        <v>640</v>
      </c>
      <c r="D113" s="13"/>
      <c r="E113" s="13"/>
      <c r="F113" s="23" t="s">
        <v>78</v>
      </c>
      <c r="G113" s="23" t="s">
        <v>79</v>
      </c>
      <c r="H113" s="23" t="s">
        <v>47</v>
      </c>
      <c r="I113" s="23" t="s">
        <v>49</v>
      </c>
      <c r="J113" s="13"/>
    </row>
    <row r="114" spans="1:10">
      <c r="A114" s="27">
        <f>HYPERLINK("http://www.westlaw.com/Find/Default.wl?rs=dfa1.0&amp;vr=2.0&amp;DB=708&amp;FindType=Y&amp;SerialNum=2021084058",45)</f>
        <v>45</v>
      </c>
      <c r="B114" s="21" t="s">
        <v>641</v>
      </c>
      <c r="C114" s="36" t="s">
        <v>642</v>
      </c>
      <c r="D114" s="13"/>
      <c r="E114" s="13"/>
      <c r="F114" s="23" t="s">
        <v>78</v>
      </c>
      <c r="G114" s="23" t="s">
        <v>79</v>
      </c>
      <c r="H114" s="23" t="s">
        <v>47</v>
      </c>
      <c r="I114" s="23" t="s">
        <v>49</v>
      </c>
      <c r="J114" s="13"/>
    </row>
    <row r="115" spans="1:10">
      <c r="A115" s="27">
        <f>HYPERLINK("http://www.westlaw.com/Find/Default.wl?rs=dfa1.0&amp;vr=2.0&amp;DB=506&amp;FindType=Y&amp;SerialNum=2023183194",50)</f>
        <v>50</v>
      </c>
      <c r="B115" s="21" t="s">
        <v>643</v>
      </c>
      <c r="C115" s="36" t="s">
        <v>644</v>
      </c>
      <c r="D115" s="13"/>
      <c r="E115" s="13"/>
      <c r="F115" s="23" t="s">
        <v>78</v>
      </c>
      <c r="G115" s="23" t="s">
        <v>79</v>
      </c>
      <c r="H115" s="23" t="s">
        <v>100</v>
      </c>
      <c r="I115" s="23" t="s">
        <v>49</v>
      </c>
      <c r="J115" s="13"/>
    </row>
    <row r="116" spans="1:10">
      <c r="A116" s="27">
        <f>HYPERLINK("http://www.westlaw.com/Find/Default.wl?rs=dfa1.0&amp;vr=2.0&amp;DB=506&amp;FindType=Y&amp;SerialNum=2023085296",51)</f>
        <v>51</v>
      </c>
      <c r="B116" s="21" t="s">
        <v>645</v>
      </c>
      <c r="C116" s="36" t="s">
        <v>646</v>
      </c>
      <c r="D116" s="13"/>
      <c r="E116" s="13"/>
      <c r="F116" s="23" t="s">
        <v>78</v>
      </c>
      <c r="G116" s="23" t="s">
        <v>79</v>
      </c>
      <c r="H116" s="23" t="s">
        <v>47</v>
      </c>
      <c r="I116" s="23" t="s">
        <v>49</v>
      </c>
      <c r="J116" s="13"/>
    </row>
    <row r="117" spans="1:10">
      <c r="A117" s="27">
        <f>HYPERLINK("http://www.westlaw.com/Find/Default.wl?rs=dfa1.0&amp;vr=2.0&amp;DB=506&amp;FindType=Y&amp;SerialNum=2022964227",52)</f>
        <v>52</v>
      </c>
      <c r="B117" s="21" t="s">
        <v>647</v>
      </c>
      <c r="C117" s="36" t="s">
        <v>648</v>
      </c>
      <c r="D117" s="13"/>
      <c r="E117" s="13"/>
      <c r="F117" s="23" t="s">
        <v>78</v>
      </c>
      <c r="G117" s="23" t="s">
        <v>79</v>
      </c>
      <c r="H117" s="23" t="s">
        <v>79</v>
      </c>
      <c r="I117" s="23" t="s">
        <v>49</v>
      </c>
      <c r="J117" s="13"/>
    </row>
    <row r="118" spans="1:10">
      <c r="A118" s="27">
        <f>HYPERLINK("http://www.westlaw.com/Find/Default.wl?rs=dfa1.0&amp;vr=2.0&amp;DB=506&amp;FindType=Y&amp;SerialNum=2022943403",53)</f>
        <v>53</v>
      </c>
      <c r="B118" s="21" t="s">
        <v>649</v>
      </c>
      <c r="C118" s="36" t="s">
        <v>650</v>
      </c>
      <c r="D118" s="13"/>
      <c r="E118" s="13"/>
      <c r="F118" s="23" t="s">
        <v>78</v>
      </c>
      <c r="G118" s="23" t="s">
        <v>79</v>
      </c>
      <c r="H118" s="23" t="s">
        <v>47</v>
      </c>
      <c r="I118" s="23" t="s">
        <v>49</v>
      </c>
      <c r="J118" s="13"/>
    </row>
    <row r="119" spans="1:10">
      <c r="A119" s="27">
        <f>HYPERLINK("http://www.westlaw.com/Find/Default.wl?rs=dfa1.0&amp;vr=2.0&amp;DB=6538&amp;FindType=Y&amp;SerialNum=2022882127",54)</f>
        <v>54</v>
      </c>
      <c r="B119" s="21" t="s">
        <v>651</v>
      </c>
      <c r="C119" s="36" t="s">
        <v>652</v>
      </c>
      <c r="D119" s="13"/>
      <c r="E119" s="13"/>
      <c r="F119" s="23" t="s">
        <v>78</v>
      </c>
      <c r="G119" s="23" t="s">
        <v>167</v>
      </c>
      <c r="H119" s="23" t="s">
        <v>100</v>
      </c>
      <c r="I119" s="23" t="s">
        <v>49</v>
      </c>
      <c r="J119" s="13"/>
    </row>
    <row r="120" spans="1:10">
      <c r="A120" s="27">
        <f>HYPERLINK("http://www.westlaw.com/Find/Default.wl?rs=dfa1.0&amp;vr=2.0&amp;DB=506&amp;FindType=Y&amp;SerialNum=2022864743",55)</f>
        <v>55</v>
      </c>
      <c r="B120" s="21" t="s">
        <v>653</v>
      </c>
      <c r="C120" s="36" t="s">
        <v>654</v>
      </c>
      <c r="D120" s="13"/>
      <c r="E120" s="13"/>
      <c r="F120" s="23" t="s">
        <v>78</v>
      </c>
      <c r="G120" s="23" t="s">
        <v>167</v>
      </c>
      <c r="H120" s="23" t="s">
        <v>100</v>
      </c>
      <c r="I120" s="23" t="s">
        <v>49</v>
      </c>
      <c r="J120" s="13"/>
    </row>
    <row r="121" spans="1:10">
      <c r="A121" s="27">
        <f>HYPERLINK("http://www.westlaw.com/Find/Default.wl?rs=dfa1.0&amp;vr=2.0&amp;DB=506&amp;FindType=Y&amp;SerialNum=2022814357",56)</f>
        <v>56</v>
      </c>
      <c r="B121" s="21" t="s">
        <v>655</v>
      </c>
      <c r="C121" s="36" t="s">
        <v>656</v>
      </c>
      <c r="D121" s="13"/>
      <c r="E121" s="13"/>
      <c r="F121" s="23" t="s">
        <v>78</v>
      </c>
      <c r="G121" s="23" t="s">
        <v>79</v>
      </c>
      <c r="H121" s="23" t="s">
        <v>47</v>
      </c>
      <c r="I121" s="23" t="s">
        <v>49</v>
      </c>
      <c r="J121" s="13"/>
    </row>
    <row r="122" spans="1:10">
      <c r="A122" s="27">
        <f>HYPERLINK("http://www.westlaw.com/Find/Default.wl?rs=dfa1.0&amp;vr=2.0&amp;DB=506&amp;FindType=Y&amp;SerialNum=2022767519",58)</f>
        <v>58</v>
      </c>
      <c r="B122" s="21" t="s">
        <v>657</v>
      </c>
      <c r="C122" s="36" t="s">
        <v>658</v>
      </c>
      <c r="D122" s="13"/>
      <c r="E122" s="13"/>
      <c r="F122" s="23" t="s">
        <v>78</v>
      </c>
      <c r="G122" s="23" t="s">
        <v>167</v>
      </c>
      <c r="H122" s="23" t="s">
        <v>100</v>
      </c>
      <c r="I122" s="23" t="s">
        <v>49</v>
      </c>
      <c r="J122" s="13"/>
    </row>
    <row r="123" spans="1:10">
      <c r="A123" s="27">
        <f>HYPERLINK("http://www.westlaw.com/Find/Default.wl?rs=dfa1.0&amp;vr=2.0&amp;DB=506&amp;FindType=Y&amp;SerialNum=2022690746",59)</f>
        <v>59</v>
      </c>
      <c r="B123" s="21" t="s">
        <v>659</v>
      </c>
      <c r="C123" s="36" t="s">
        <v>660</v>
      </c>
      <c r="D123" s="13"/>
      <c r="E123" s="13"/>
      <c r="F123" s="23" t="s">
        <v>78</v>
      </c>
      <c r="G123" s="23" t="s">
        <v>79</v>
      </c>
      <c r="H123" s="23" t="s">
        <v>79</v>
      </c>
      <c r="I123" s="23" t="s">
        <v>49</v>
      </c>
      <c r="J123" s="13"/>
    </row>
    <row r="124" spans="1:10">
      <c r="A124" s="27">
        <f>HYPERLINK("http://www.westlaw.com/Find/Default.wl?rs=dfa1.0&amp;vr=2.0&amp;DB=506&amp;FindType=Y&amp;SerialNum=2022636978",61)</f>
        <v>61</v>
      </c>
      <c r="B124" s="21" t="s">
        <v>661</v>
      </c>
      <c r="C124" s="36" t="s">
        <v>662</v>
      </c>
      <c r="D124" s="13"/>
      <c r="E124" s="13"/>
      <c r="F124" s="23" t="s">
        <v>78</v>
      </c>
      <c r="G124" s="23" t="s">
        <v>79</v>
      </c>
      <c r="H124" s="23" t="s">
        <v>47</v>
      </c>
      <c r="I124" s="23" t="s">
        <v>49</v>
      </c>
      <c r="J124" s="13"/>
    </row>
    <row r="125" spans="1:10">
      <c r="A125" s="27">
        <f>HYPERLINK("http://www.westlaw.com/Find/Default.wl?rs=dfa1.0&amp;vr=2.0&amp;DB=506&amp;FindType=Y&amp;SerialNum=2022637820",62)</f>
        <v>62</v>
      </c>
      <c r="B125" s="21" t="s">
        <v>663</v>
      </c>
      <c r="C125" s="36" t="s">
        <v>664</v>
      </c>
      <c r="D125" s="13"/>
      <c r="E125" s="13"/>
      <c r="F125" s="23" t="s">
        <v>78</v>
      </c>
      <c r="G125" s="23" t="s">
        <v>79</v>
      </c>
      <c r="H125" s="23" t="s">
        <v>100</v>
      </c>
      <c r="I125" s="23" t="s">
        <v>49</v>
      </c>
      <c r="J125" s="13"/>
    </row>
    <row r="126" spans="1:10">
      <c r="A126" s="27">
        <f>HYPERLINK("http://www.westlaw.com/Find/Default.wl?rs=dfa1.0&amp;vr=2.0&amp;DB=506&amp;FindType=Y&amp;SerialNum=2022525638",63)</f>
        <v>63</v>
      </c>
      <c r="B126" s="21" t="s">
        <v>665</v>
      </c>
      <c r="C126" s="36" t="s">
        <v>666</v>
      </c>
      <c r="D126" s="13"/>
      <c r="E126" s="13"/>
      <c r="F126" s="23" t="s">
        <v>78</v>
      </c>
      <c r="G126" s="23" t="s">
        <v>167</v>
      </c>
      <c r="H126" s="23" t="s">
        <v>100</v>
      </c>
      <c r="I126" s="23" t="s">
        <v>49</v>
      </c>
      <c r="J126" s="13"/>
    </row>
    <row r="127" spans="1:10">
      <c r="A127" s="27">
        <f>HYPERLINK("http://www.westlaw.com/Find/Default.wl?rs=dfa1.0&amp;vr=2.0&amp;DB=506&amp;FindType=Y&amp;SerialNum=2022494603",64)</f>
        <v>64</v>
      </c>
      <c r="B127" s="21" t="s">
        <v>667</v>
      </c>
      <c r="C127" s="36" t="s">
        <v>668</v>
      </c>
      <c r="D127" s="13"/>
      <c r="E127" s="13"/>
      <c r="F127" s="23" t="s">
        <v>78</v>
      </c>
      <c r="G127" s="23" t="s">
        <v>79</v>
      </c>
      <c r="H127" s="23" t="s">
        <v>47</v>
      </c>
      <c r="I127" s="23" t="s">
        <v>49</v>
      </c>
      <c r="J127" s="13"/>
    </row>
    <row r="128" spans="1:10">
      <c r="A128" s="27">
        <f>HYPERLINK("http://www.westlaw.com/Find/Default.wl?rs=dfa1.0&amp;vr=2.0&amp;DB=506&amp;FindType=Y&amp;SerialNum=2022429451",66)</f>
        <v>66</v>
      </c>
      <c r="B128" s="21" t="s">
        <v>669</v>
      </c>
      <c r="C128" s="36" t="s">
        <v>670</v>
      </c>
      <c r="D128" s="13"/>
      <c r="E128" s="13"/>
      <c r="F128" s="23" t="s">
        <v>78</v>
      </c>
      <c r="G128" s="23" t="s">
        <v>79</v>
      </c>
      <c r="H128" s="23" t="s">
        <v>671</v>
      </c>
      <c r="I128" s="23" t="s">
        <v>49</v>
      </c>
      <c r="J128" s="13"/>
    </row>
    <row r="129" spans="1:10">
      <c r="A129" s="27">
        <f>HYPERLINK("http://www.westlaw.com/Find/Default.wl?rs=dfa1.0&amp;vr=2.0&amp;DB=506&amp;FindType=Y&amp;SerialNum=2022340457",67)</f>
        <v>67</v>
      </c>
      <c r="B129" s="21" t="s">
        <v>672</v>
      </c>
      <c r="C129" s="36" t="s">
        <v>673</v>
      </c>
      <c r="D129" s="13"/>
      <c r="E129" s="13"/>
      <c r="F129" s="23" t="s">
        <v>78</v>
      </c>
      <c r="G129" s="23" t="s">
        <v>79</v>
      </c>
      <c r="H129" s="23" t="s">
        <v>47</v>
      </c>
      <c r="I129" s="23" t="s">
        <v>49</v>
      </c>
      <c r="J129" s="13"/>
    </row>
    <row r="130" spans="1:10">
      <c r="A130" s="27">
        <f>HYPERLINK("http://www.westlaw.com/Find/Default.wl?rs=dfa1.0&amp;vr=2.0&amp;DB=506&amp;FindType=Y&amp;SerialNum=2022236388",68)</f>
        <v>68</v>
      </c>
      <c r="B130" s="21" t="s">
        <v>674</v>
      </c>
      <c r="C130" s="36" t="s">
        <v>675</v>
      </c>
      <c r="D130" s="13"/>
      <c r="E130" s="13"/>
      <c r="F130" s="23" t="s">
        <v>78</v>
      </c>
      <c r="G130" s="23" t="s">
        <v>79</v>
      </c>
      <c r="H130" s="23" t="s">
        <v>625</v>
      </c>
      <c r="I130" s="23" t="s">
        <v>49</v>
      </c>
      <c r="J130" s="13"/>
    </row>
    <row r="131" spans="1:10">
      <c r="A131" s="27">
        <f>HYPERLINK("http://www.westlaw.com/Find/Default.wl?rs=dfa1.0&amp;vr=2.0&amp;DB=6538&amp;FindType=Y&amp;SerialNum=2022239997",69)</f>
        <v>69</v>
      </c>
      <c r="B131" s="21" t="s">
        <v>676</v>
      </c>
      <c r="C131" s="36" t="s">
        <v>677</v>
      </c>
      <c r="D131" s="23"/>
      <c r="E131" s="23"/>
      <c r="F131" s="23" t="s">
        <v>78</v>
      </c>
      <c r="G131" s="23" t="s">
        <v>79</v>
      </c>
      <c r="H131" s="23" t="s">
        <v>79</v>
      </c>
      <c r="I131" s="23" t="s">
        <v>49</v>
      </c>
      <c r="J131" s="23"/>
    </row>
    <row r="132" spans="1:10">
      <c r="A132" s="27">
        <f>HYPERLINK("http://www.westlaw.com/Find/Default.wl?rs=dfa1.0&amp;vr=2.0&amp;DB=506&amp;FindType=Y&amp;SerialNum=2022206779",71)</f>
        <v>71</v>
      </c>
      <c r="B132" s="21" t="s">
        <v>678</v>
      </c>
      <c r="C132" s="36" t="s">
        <v>679</v>
      </c>
      <c r="D132" s="13"/>
      <c r="E132" s="13"/>
      <c r="F132" s="23" t="s">
        <v>78</v>
      </c>
      <c r="G132" s="23" t="s">
        <v>79</v>
      </c>
      <c r="H132" s="23" t="s">
        <v>100</v>
      </c>
      <c r="I132" s="23" t="s">
        <v>49</v>
      </c>
      <c r="J132" s="13"/>
    </row>
    <row r="133" spans="1:10" ht="24">
      <c r="A133" s="27">
        <f>HYPERLINK("http://www.westlaw.com/Find/Default.wl?rs=dfa1.0&amp;vr=2.0&amp;DB=6538&amp;FindType=Y&amp;SerialNum=2022165374",72)</f>
        <v>72</v>
      </c>
      <c r="B133" s="21" t="s">
        <v>680</v>
      </c>
      <c r="C133" s="36" t="s">
        <v>681</v>
      </c>
      <c r="D133" s="13"/>
      <c r="E133" s="13"/>
      <c r="F133" s="23" t="s">
        <v>78</v>
      </c>
      <c r="G133" s="23" t="s">
        <v>79</v>
      </c>
      <c r="H133" s="23" t="s">
        <v>47</v>
      </c>
      <c r="I133" s="23" t="s">
        <v>49</v>
      </c>
      <c r="J133" s="13"/>
    </row>
    <row r="134" spans="1:10">
      <c r="A134" s="27">
        <f>HYPERLINK("http://www.westlaw.com/Find/Default.wl?rs=dfa1.0&amp;vr=2.0&amp;DB=506&amp;FindType=Y&amp;SerialNum=2022092857",73)</f>
        <v>73</v>
      </c>
      <c r="B134" s="21" t="s">
        <v>682</v>
      </c>
      <c r="C134" s="36" t="s">
        <v>683</v>
      </c>
      <c r="D134" s="13"/>
      <c r="E134" s="13"/>
      <c r="F134" s="23" t="s">
        <v>78</v>
      </c>
      <c r="G134" s="23" t="s">
        <v>167</v>
      </c>
      <c r="H134" s="23" t="s">
        <v>47</v>
      </c>
      <c r="I134" s="23" t="s">
        <v>49</v>
      </c>
      <c r="J134" s="13"/>
    </row>
    <row r="135" spans="1:10">
      <c r="A135" s="27">
        <f>HYPERLINK("http://www.westlaw.com/Find/Default.wl?rs=dfa1.0&amp;vr=2.0&amp;DB=506&amp;FindType=Y&amp;SerialNum=2022084602",74)</f>
        <v>74</v>
      </c>
      <c r="B135" s="21" t="s">
        <v>684</v>
      </c>
      <c r="C135" s="36" t="s">
        <v>685</v>
      </c>
      <c r="D135" s="13"/>
      <c r="E135" s="13"/>
      <c r="F135" s="23" t="s">
        <v>78</v>
      </c>
      <c r="G135" s="23" t="s">
        <v>79</v>
      </c>
      <c r="H135" s="23" t="s">
        <v>47</v>
      </c>
      <c r="I135" s="23" t="s">
        <v>49</v>
      </c>
      <c r="J135" s="13"/>
    </row>
    <row r="136" spans="1:10">
      <c r="A136" s="27">
        <f>HYPERLINK("http://www.westlaw.com/Find/Default.wl?rs=dfa1.0&amp;vr=2.0&amp;DB=6538&amp;FindType=Y&amp;SerialNum=2021957307",75)</f>
        <v>75</v>
      </c>
      <c r="B136" s="21" t="s">
        <v>686</v>
      </c>
      <c r="C136" s="36" t="s">
        <v>687</v>
      </c>
      <c r="D136" s="13"/>
      <c r="E136" s="13"/>
      <c r="F136" s="23" t="s">
        <v>78</v>
      </c>
      <c r="G136" s="23" t="s">
        <v>79</v>
      </c>
      <c r="H136" s="23" t="s">
        <v>79</v>
      </c>
      <c r="I136" s="23" t="s">
        <v>49</v>
      </c>
      <c r="J136" s="13"/>
    </row>
    <row r="137" spans="1:10">
      <c r="A137" s="27">
        <f>HYPERLINK("http://www.westlaw.com/Find/Default.wl?rs=dfa1.0&amp;vr=2.0&amp;DB=506&amp;FindType=Y&amp;SerialNum=2021950637",76)</f>
        <v>76</v>
      </c>
      <c r="B137" s="21" t="s">
        <v>688</v>
      </c>
      <c r="C137" s="36" t="s">
        <v>689</v>
      </c>
      <c r="D137" s="13"/>
      <c r="E137" s="13"/>
      <c r="F137" s="23" t="s">
        <v>78</v>
      </c>
      <c r="G137" s="23" t="s">
        <v>167</v>
      </c>
      <c r="H137" s="23" t="s">
        <v>79</v>
      </c>
      <c r="I137" s="23" t="s">
        <v>49</v>
      </c>
      <c r="J137" s="13"/>
    </row>
    <row r="138" spans="1:10">
      <c r="A138" s="27">
        <f>HYPERLINK("http://www.westlaw.com/Find/Default.wl?rs=dfa1.0&amp;vr=2.0&amp;DB=506&amp;FindType=Y&amp;SerialNum=2021857887",77)</f>
        <v>77</v>
      </c>
      <c r="B138" s="21" t="s">
        <v>690</v>
      </c>
      <c r="C138" s="36" t="s">
        <v>691</v>
      </c>
      <c r="D138" s="13"/>
      <c r="E138" s="13"/>
      <c r="F138" s="23" t="s">
        <v>78</v>
      </c>
      <c r="G138" s="23" t="s">
        <v>79</v>
      </c>
      <c r="H138" s="23" t="s">
        <v>47</v>
      </c>
      <c r="I138" s="23" t="s">
        <v>49</v>
      </c>
      <c r="J138" s="13"/>
    </row>
    <row r="139" spans="1:10" ht="24">
      <c r="A139" s="27">
        <f>HYPERLINK("http://www.westlaw.com/Find/Default.wl?rs=dfa1.0&amp;vr=2.0&amp;DB=506&amp;FindType=Y&amp;SerialNum=2021810289",78)</f>
        <v>78</v>
      </c>
      <c r="B139" s="21" t="s">
        <v>692</v>
      </c>
      <c r="C139" s="36" t="s">
        <v>693</v>
      </c>
      <c r="D139" s="13"/>
      <c r="E139" s="13"/>
      <c r="F139" s="23" t="s">
        <v>78</v>
      </c>
      <c r="G139" s="23" t="s">
        <v>167</v>
      </c>
      <c r="H139" s="23" t="s">
        <v>47</v>
      </c>
      <c r="I139" s="23" t="s">
        <v>49</v>
      </c>
      <c r="J139" s="13"/>
    </row>
    <row r="140" spans="1:10">
      <c r="A140" s="27">
        <f>HYPERLINK("http://www.westlaw.com/Find/Default.wl?rs=dfa1.0&amp;vr=2.0&amp;DB=6538&amp;FindType=Y&amp;SerialNum=2021801690",79)</f>
        <v>79</v>
      </c>
      <c r="B140" s="21" t="s">
        <v>694</v>
      </c>
      <c r="C140" s="36" t="s">
        <v>695</v>
      </c>
      <c r="D140" s="13"/>
      <c r="E140" s="13"/>
      <c r="F140" s="23" t="s">
        <v>78</v>
      </c>
      <c r="G140" s="23" t="s">
        <v>79</v>
      </c>
      <c r="H140" s="23" t="s">
        <v>79</v>
      </c>
      <c r="I140" s="23" t="s">
        <v>49</v>
      </c>
      <c r="J140" s="13"/>
    </row>
    <row r="141" spans="1:10">
      <c r="A141" s="27">
        <f>HYPERLINK("http://www.westlaw.com/Find/Default.wl?rs=dfa1.0&amp;vr=2.0&amp;DB=6538&amp;FindType=Y&amp;SerialNum=2021793019",80)</f>
        <v>80</v>
      </c>
      <c r="B141" s="21" t="s">
        <v>152</v>
      </c>
      <c r="C141" s="36" t="s">
        <v>696</v>
      </c>
      <c r="D141" s="13"/>
      <c r="E141" s="13"/>
      <c r="F141" s="23" t="s">
        <v>78</v>
      </c>
      <c r="G141" s="23" t="s">
        <v>79</v>
      </c>
      <c r="H141" s="23" t="s">
        <v>79</v>
      </c>
      <c r="I141" s="23" t="s">
        <v>49</v>
      </c>
      <c r="J141" s="13"/>
    </row>
    <row r="142" spans="1:10">
      <c r="A142" s="27">
        <f>HYPERLINK("http://www.westlaw.com/Find/Default.wl?rs=dfa1.0&amp;vr=2.0&amp;DB=506&amp;FindType=Y&amp;SerialNum=2021757355",81)</f>
        <v>81</v>
      </c>
      <c r="B142" s="21" t="s">
        <v>697</v>
      </c>
      <c r="C142" s="36" t="s">
        <v>698</v>
      </c>
      <c r="D142" s="13"/>
      <c r="E142" s="13"/>
      <c r="F142" s="23" t="s">
        <v>78</v>
      </c>
      <c r="G142" s="23" t="s">
        <v>79</v>
      </c>
      <c r="H142" s="23" t="s">
        <v>47</v>
      </c>
      <c r="I142" s="23" t="s">
        <v>49</v>
      </c>
      <c r="J142" s="13"/>
    </row>
    <row r="143" spans="1:10">
      <c r="A143" s="27">
        <f>HYPERLINK("http://www.westlaw.com/Find/Default.wl?rs=dfa1.0&amp;vr=2.0&amp;DB=506&amp;FindType=Y&amp;SerialNum=2021692155",83)</f>
        <v>83</v>
      </c>
      <c r="B143" s="21" t="s">
        <v>699</v>
      </c>
      <c r="C143" s="36" t="s">
        <v>700</v>
      </c>
      <c r="D143" s="13"/>
      <c r="E143" s="13"/>
      <c r="F143" s="23" t="s">
        <v>78</v>
      </c>
      <c r="G143" s="23" t="s">
        <v>79</v>
      </c>
      <c r="H143" s="23" t="s">
        <v>100</v>
      </c>
      <c r="I143" s="23" t="s">
        <v>49</v>
      </c>
      <c r="J143" s="13"/>
    </row>
    <row r="144" spans="1:10">
      <c r="A144" s="27">
        <f>HYPERLINK("http://www.westlaw.com/Find/Default.wl?rs=dfa1.0&amp;vr=2.0&amp;DB=506&amp;FindType=Y&amp;SerialNum=2021674344",84)</f>
        <v>84</v>
      </c>
      <c r="B144" s="21" t="s">
        <v>701</v>
      </c>
      <c r="C144" s="36" t="s">
        <v>702</v>
      </c>
      <c r="D144" s="13"/>
      <c r="E144" s="13"/>
      <c r="F144" s="23" t="s">
        <v>78</v>
      </c>
      <c r="G144" s="23" t="s">
        <v>79</v>
      </c>
      <c r="H144" s="23" t="s">
        <v>100</v>
      </c>
      <c r="I144" s="23" t="s">
        <v>49</v>
      </c>
      <c r="J144" s="13"/>
    </row>
    <row r="145" spans="1:10">
      <c r="A145" s="27">
        <f>HYPERLINK("http://www.westlaw.com/Find/Default.wl?rs=dfa1.0&amp;vr=2.0&amp;DB=506&amp;FindType=Y&amp;SerialNum=2021547240",86)</f>
        <v>86</v>
      </c>
      <c r="B145" s="21" t="s">
        <v>703</v>
      </c>
      <c r="C145" s="36" t="s">
        <v>704</v>
      </c>
      <c r="D145" s="13"/>
      <c r="E145" s="13"/>
      <c r="F145" s="23" t="s">
        <v>78</v>
      </c>
      <c r="G145" s="23" t="s">
        <v>167</v>
      </c>
      <c r="H145" s="23" t="s">
        <v>100</v>
      </c>
      <c r="I145" s="23" t="s">
        <v>49</v>
      </c>
      <c r="J145" s="13"/>
    </row>
    <row r="146" spans="1:10">
      <c r="A146" s="27">
        <f>HYPERLINK("http://www.westlaw.com/Find/Default.wl?rs=dfa1.0&amp;vr=2.0&amp;DB=506&amp;FindType=Y&amp;SerialNum=2021514411",87)</f>
        <v>87</v>
      </c>
      <c r="B146" s="21" t="s">
        <v>705</v>
      </c>
      <c r="C146" s="36" t="s">
        <v>706</v>
      </c>
      <c r="D146" s="13"/>
      <c r="E146" s="13"/>
      <c r="F146" s="23" t="s">
        <v>78</v>
      </c>
      <c r="G146" s="23" t="s">
        <v>167</v>
      </c>
      <c r="H146" s="23" t="s">
        <v>100</v>
      </c>
      <c r="I146" s="23" t="s">
        <v>49</v>
      </c>
      <c r="J146" s="13"/>
    </row>
    <row r="147" spans="1:10">
      <c r="A147" s="27">
        <f>HYPERLINK("http://www.westlaw.com/Find/Default.wl?rs=dfa1.0&amp;vr=2.0&amp;DB=506&amp;FindType=Y&amp;SerialNum=2021499959",89)</f>
        <v>89</v>
      </c>
      <c r="B147" s="21" t="s">
        <v>707</v>
      </c>
      <c r="C147" s="36" t="s">
        <v>708</v>
      </c>
      <c r="D147" s="13"/>
      <c r="E147" s="13"/>
      <c r="F147" s="23" t="s">
        <v>78</v>
      </c>
      <c r="G147" s="23" t="s">
        <v>79</v>
      </c>
      <c r="H147" s="23" t="s">
        <v>100</v>
      </c>
      <c r="I147" s="23" t="s">
        <v>49</v>
      </c>
      <c r="J147" s="13"/>
    </row>
    <row r="148" spans="1:10">
      <c r="A148" s="27">
        <f>HYPERLINK("http://www.westlaw.com/Find/Default.wl?rs=dfa1.0&amp;vr=2.0&amp;DB=506&amp;FindType=Y&amp;SerialNum=2021453044",90)</f>
        <v>90</v>
      </c>
      <c r="B148" s="21" t="s">
        <v>709</v>
      </c>
      <c r="C148" s="36" t="s">
        <v>710</v>
      </c>
      <c r="D148" s="13"/>
      <c r="E148" s="13"/>
      <c r="F148" s="23" t="s">
        <v>78</v>
      </c>
      <c r="G148" s="23" t="s">
        <v>79</v>
      </c>
      <c r="H148" s="23" t="s">
        <v>47</v>
      </c>
      <c r="I148" s="23" t="s">
        <v>49</v>
      </c>
      <c r="J148" s="13"/>
    </row>
    <row r="149" spans="1:10">
      <c r="A149" s="27">
        <f>HYPERLINK("http://www.westlaw.com/Find/Default.wl?rs=dfa1.0&amp;vr=2.0&amp;DB=506&amp;FindType=Y&amp;SerialNum=2021442945",91)</f>
        <v>91</v>
      </c>
      <c r="B149" s="21" t="s">
        <v>711</v>
      </c>
      <c r="C149" s="36" t="s">
        <v>712</v>
      </c>
      <c r="D149" s="13"/>
      <c r="E149" s="13"/>
      <c r="F149" s="23" t="s">
        <v>78</v>
      </c>
      <c r="G149" s="23" t="s">
        <v>167</v>
      </c>
      <c r="H149" s="23" t="s">
        <v>47</v>
      </c>
      <c r="I149" s="23" t="s">
        <v>49</v>
      </c>
      <c r="J149" s="13"/>
    </row>
    <row r="150" spans="1:10">
      <c r="A150" s="27">
        <f>HYPERLINK("http://www.westlaw.com/Find/Default.wl?rs=dfa1.0&amp;vr=2.0&amp;DB=506&amp;FindType=Y&amp;SerialNum=2021400295",92)</f>
        <v>92</v>
      </c>
      <c r="B150" s="21" t="s">
        <v>713</v>
      </c>
      <c r="C150" s="36" t="s">
        <v>714</v>
      </c>
      <c r="D150" s="13"/>
      <c r="E150" s="13"/>
      <c r="F150" s="23" t="s">
        <v>78</v>
      </c>
      <c r="G150" s="23" t="s">
        <v>79</v>
      </c>
      <c r="H150" s="23" t="s">
        <v>100</v>
      </c>
      <c r="I150" s="23" t="s">
        <v>49</v>
      </c>
      <c r="J150" s="13"/>
    </row>
    <row r="151" spans="1:10">
      <c r="A151" s="27">
        <f>HYPERLINK("http://www.westlaw.com/Find/Default.wl?rs=dfa1.0&amp;vr=2.0&amp;DB=6538&amp;FindType=Y&amp;SerialNum=2021346625",93)</f>
        <v>93</v>
      </c>
      <c r="B151" s="21" t="s">
        <v>715</v>
      </c>
      <c r="C151" s="36" t="s">
        <v>716</v>
      </c>
      <c r="D151" s="13"/>
      <c r="E151" s="13"/>
      <c r="F151" s="23" t="s">
        <v>78</v>
      </c>
      <c r="G151" s="23" t="s">
        <v>79</v>
      </c>
      <c r="H151" s="23" t="s">
        <v>79</v>
      </c>
      <c r="I151" s="23" t="s">
        <v>49</v>
      </c>
      <c r="J151" s="13"/>
    </row>
    <row r="152" spans="1:10">
      <c r="A152" s="27">
        <f>HYPERLINK("http://www.westlaw.com/Find/Default.wl?rs=dfa1.0&amp;vr=2.0&amp;DB=506&amp;FindType=Y&amp;SerialNum=2021274798",94)</f>
        <v>94</v>
      </c>
      <c r="B152" s="21" t="s">
        <v>717</v>
      </c>
      <c r="C152" s="36" t="s">
        <v>718</v>
      </c>
      <c r="D152" s="13"/>
      <c r="E152" s="13"/>
      <c r="F152" s="23" t="s">
        <v>78</v>
      </c>
      <c r="G152" s="23" t="s">
        <v>167</v>
      </c>
      <c r="H152" s="23" t="s">
        <v>719</v>
      </c>
      <c r="I152" s="23" t="s">
        <v>49</v>
      </c>
      <c r="J152" s="13"/>
    </row>
    <row r="153" spans="1:10">
      <c r="A153" s="27">
        <f>HYPERLINK("http://www.westlaw.com/Find/Default.wl?rs=dfa1.0&amp;vr=2.0&amp;DB=506&amp;FindType=Y&amp;SerialNum=2021253900",95)</f>
        <v>95</v>
      </c>
      <c r="B153" s="21" t="s">
        <v>720</v>
      </c>
      <c r="C153" s="36" t="s">
        <v>721</v>
      </c>
      <c r="D153" s="13"/>
      <c r="E153" s="13"/>
      <c r="F153" s="23" t="s">
        <v>78</v>
      </c>
      <c r="G153" s="23" t="s">
        <v>167</v>
      </c>
      <c r="H153" s="23" t="s">
        <v>79</v>
      </c>
      <c r="I153" s="23" t="s">
        <v>49</v>
      </c>
      <c r="J153" s="13"/>
    </row>
    <row r="154" spans="1:10">
      <c r="A154" s="27">
        <f>HYPERLINK("http://www.westlaw.com/Find/Default.wl?rs=dfa1.0&amp;vr=2.0&amp;DB=506&amp;FindType=Y&amp;SerialNum=2021221224",96)</f>
        <v>96</v>
      </c>
      <c r="B154" s="21" t="s">
        <v>722</v>
      </c>
      <c r="C154" s="36" t="s">
        <v>723</v>
      </c>
      <c r="D154" s="13"/>
      <c r="E154" s="13"/>
      <c r="F154" s="23" t="s">
        <v>78</v>
      </c>
      <c r="G154" s="23" t="s">
        <v>79</v>
      </c>
      <c r="H154" s="23" t="s">
        <v>80</v>
      </c>
      <c r="I154" s="23" t="s">
        <v>49</v>
      </c>
      <c r="J154" s="13"/>
    </row>
    <row r="155" spans="1:10">
      <c r="A155" s="27">
        <f>HYPERLINK("http://www.westlaw.com/Find/Default.wl?rs=dfa1.0&amp;vr=2.0&amp;DB=506&amp;FindType=Y&amp;SerialNum=2021221461",97)</f>
        <v>97</v>
      </c>
      <c r="B155" s="21" t="s">
        <v>724</v>
      </c>
      <c r="C155" s="36" t="s">
        <v>725</v>
      </c>
      <c r="D155" s="13"/>
      <c r="E155" s="13"/>
      <c r="F155" s="23" t="s">
        <v>78</v>
      </c>
      <c r="G155" s="23" t="s">
        <v>167</v>
      </c>
      <c r="H155" s="23" t="s">
        <v>100</v>
      </c>
      <c r="I155" s="23" t="s">
        <v>49</v>
      </c>
      <c r="J155" s="13"/>
    </row>
    <row r="156" spans="1:10">
      <c r="A156" s="27">
        <f>HYPERLINK("http://www.westlaw.com/Find/Default.wl?rs=dfa1.0&amp;vr=2.0&amp;DB=506&amp;FindType=Y&amp;SerialNum=2021176126",98)</f>
        <v>98</v>
      </c>
      <c r="B156" s="21" t="s">
        <v>726</v>
      </c>
      <c r="C156" s="36" t="s">
        <v>727</v>
      </c>
      <c r="D156" s="13"/>
      <c r="E156" s="13"/>
      <c r="F156" s="23" t="s">
        <v>78</v>
      </c>
      <c r="G156" s="23" t="s">
        <v>167</v>
      </c>
      <c r="H156" s="23" t="s">
        <v>100</v>
      </c>
      <c r="I156" s="23" t="s">
        <v>49</v>
      </c>
      <c r="J156" s="13"/>
    </row>
    <row r="157" spans="1:10">
      <c r="A157" s="27">
        <f>HYPERLINK("http://www.westlaw.com/Find/Default.wl?rs=dfa1.0&amp;vr=2.0&amp;DB=506&amp;FindType=Y&amp;SerialNum=2021065954",99)</f>
        <v>99</v>
      </c>
      <c r="B157" s="21" t="s">
        <v>728</v>
      </c>
      <c r="C157" s="36" t="s">
        <v>729</v>
      </c>
      <c r="D157" s="13"/>
      <c r="E157" s="13"/>
      <c r="F157" s="23" t="s">
        <v>78</v>
      </c>
      <c r="G157" s="23" t="s">
        <v>79</v>
      </c>
      <c r="H157" s="23" t="s">
        <v>100</v>
      </c>
      <c r="I157" s="23" t="s">
        <v>49</v>
      </c>
      <c r="J157" s="13"/>
    </row>
    <row r="158" spans="1:10">
      <c r="A158" s="27">
        <f>HYPERLINK("http://www.westlaw.com/Find/Default.wl?rs=dfa1.0&amp;vr=2.0&amp;DB=506&amp;FindType=Y&amp;SerialNum=2020992137",100)</f>
        <v>100</v>
      </c>
      <c r="B158" s="21" t="s">
        <v>730</v>
      </c>
      <c r="C158" s="36" t="s">
        <v>731</v>
      </c>
      <c r="D158" s="13"/>
      <c r="E158" s="13"/>
      <c r="F158" s="23" t="s">
        <v>78</v>
      </c>
      <c r="G158" s="23" t="s">
        <v>79</v>
      </c>
      <c r="H158" s="23" t="s">
        <v>79</v>
      </c>
      <c r="I158" s="23" t="s">
        <v>49</v>
      </c>
      <c r="J158" s="13"/>
    </row>
    <row r="159" spans="1:10">
      <c r="A159" s="27">
        <f>HYPERLINK("http://www.westlaw.com/Find/Default.wl?rs=dfa1.0&amp;vr=2.0&amp;DB=506&amp;FindType=Y&amp;SerialNum=2020814314",101)</f>
        <v>101</v>
      </c>
      <c r="B159" s="21" t="s">
        <v>732</v>
      </c>
      <c r="C159" s="36" t="s">
        <v>733</v>
      </c>
      <c r="D159" s="13"/>
      <c r="E159" s="13"/>
      <c r="F159" s="23" t="s">
        <v>78</v>
      </c>
      <c r="G159" s="23" t="s">
        <v>167</v>
      </c>
      <c r="H159" s="23" t="s">
        <v>47</v>
      </c>
      <c r="I159" s="23" t="s">
        <v>49</v>
      </c>
      <c r="J159" s="13"/>
    </row>
    <row r="160" spans="1:10">
      <c r="A160" s="27">
        <f>HYPERLINK("http://www.westlaw.com/Find/Default.wl?rs=dfa1.0&amp;vr=2.0&amp;DB=506&amp;FindType=Y&amp;SerialNum=2020779490",102)</f>
        <v>102</v>
      </c>
      <c r="B160" s="21" t="s">
        <v>734</v>
      </c>
      <c r="C160" s="36" t="s">
        <v>735</v>
      </c>
      <c r="D160" s="13"/>
      <c r="E160" s="13"/>
      <c r="F160" s="23" t="s">
        <v>78</v>
      </c>
      <c r="G160" s="23" t="s">
        <v>79</v>
      </c>
      <c r="H160" s="23" t="s">
        <v>80</v>
      </c>
      <c r="I160" s="23" t="s">
        <v>49</v>
      </c>
      <c r="J160" s="13"/>
    </row>
    <row r="161" spans="1:10">
      <c r="A161" s="27">
        <f>HYPERLINK("http://www.westlaw.com/Find/Default.wl?rs=dfa1.0&amp;vr=2.0&amp;DB=506&amp;FindType=Y&amp;SerialNum=2020661091",103)</f>
        <v>103</v>
      </c>
      <c r="B161" s="21" t="s">
        <v>736</v>
      </c>
      <c r="C161" s="36" t="s">
        <v>737</v>
      </c>
      <c r="D161" s="13"/>
      <c r="E161" s="13"/>
      <c r="F161" s="23" t="s">
        <v>78</v>
      </c>
      <c r="G161" s="23" t="s">
        <v>79</v>
      </c>
      <c r="H161" s="23" t="s">
        <v>79</v>
      </c>
      <c r="I161" s="23" t="s">
        <v>49</v>
      </c>
      <c r="J161" s="13"/>
    </row>
    <row r="162" spans="1:10">
      <c r="A162" s="27">
        <f>HYPERLINK("http://www.westlaw.com/Find/Default.wl?rs=dfa1.0&amp;vr=2.0&amp;DB=506&amp;FindType=Y&amp;SerialNum=2020652748",104)</f>
        <v>104</v>
      </c>
      <c r="B162" s="21" t="s">
        <v>738</v>
      </c>
      <c r="C162" s="36" t="s">
        <v>739</v>
      </c>
      <c r="D162" s="13"/>
      <c r="E162" s="13"/>
      <c r="F162" s="23" t="s">
        <v>78</v>
      </c>
      <c r="G162" s="23" t="s">
        <v>79</v>
      </c>
      <c r="H162" s="23" t="s">
        <v>79</v>
      </c>
      <c r="I162" s="23" t="s">
        <v>49</v>
      </c>
      <c r="J162" s="13"/>
    </row>
    <row r="163" spans="1:10">
      <c r="A163" s="27">
        <f>HYPERLINK("http://www.westlaw.com/Find/Default.wl?rs=dfa1.0&amp;vr=2.0&amp;DB=506&amp;FindType=Y&amp;SerialNum=2020564027",105)</f>
        <v>105</v>
      </c>
      <c r="B163" s="21" t="s">
        <v>740</v>
      </c>
      <c r="C163" s="36" t="s">
        <v>741</v>
      </c>
      <c r="D163" s="13"/>
      <c r="E163" s="13"/>
      <c r="F163" s="23" t="s">
        <v>78</v>
      </c>
      <c r="G163" s="23" t="s">
        <v>167</v>
      </c>
      <c r="H163" s="23" t="s">
        <v>79</v>
      </c>
      <c r="I163" s="23" t="s">
        <v>49</v>
      </c>
      <c r="J163" s="13"/>
    </row>
    <row r="164" spans="1:10">
      <c r="A164" s="27">
        <f>HYPERLINK("http://www.westlaw.com/Find/Default.wl?rs=dfa1.0&amp;vr=2.0&amp;DB=6538&amp;FindType=Y&amp;SerialNum=2020491869",106)</f>
        <v>106</v>
      </c>
      <c r="B164" s="21" t="s">
        <v>742</v>
      </c>
      <c r="C164" s="36" t="s">
        <v>743</v>
      </c>
      <c r="D164" s="13"/>
      <c r="E164" s="13"/>
      <c r="F164" s="23" t="s">
        <v>78</v>
      </c>
      <c r="G164" s="23" t="s">
        <v>79</v>
      </c>
      <c r="H164" s="23" t="s">
        <v>47</v>
      </c>
      <c r="I164" s="23" t="s">
        <v>49</v>
      </c>
      <c r="J164" s="13"/>
    </row>
    <row r="165" spans="1:10">
      <c r="A165" s="27">
        <f>HYPERLINK("http://www.westlaw.com/Find/Default.wl?rs=dfa1.0&amp;vr=2.0&amp;DB=506&amp;FindType=Y&amp;SerialNum=2020491967",107)</f>
        <v>107</v>
      </c>
      <c r="B165" s="21" t="s">
        <v>744</v>
      </c>
      <c r="C165" s="36" t="s">
        <v>745</v>
      </c>
      <c r="D165" s="13"/>
      <c r="E165" s="13"/>
      <c r="F165" s="23" t="s">
        <v>78</v>
      </c>
      <c r="G165" s="23" t="s">
        <v>167</v>
      </c>
      <c r="H165" s="23" t="s">
        <v>47</v>
      </c>
      <c r="I165" s="23" t="s">
        <v>49</v>
      </c>
      <c r="J165" s="13"/>
    </row>
    <row r="166" spans="1:10" ht="24">
      <c r="A166" s="27">
        <f>HYPERLINK("http://www.westlaw.com/Find/Default.wl?rs=dfa1.0&amp;vr=2.0&amp;DB=506&amp;FindType=Y&amp;SerialNum=2020491975",108)</f>
        <v>108</v>
      </c>
      <c r="B166" s="21" t="s">
        <v>746</v>
      </c>
      <c r="C166" s="36" t="s">
        <v>747</v>
      </c>
      <c r="D166" s="13"/>
      <c r="E166" s="13"/>
      <c r="F166" s="23" t="s">
        <v>78</v>
      </c>
      <c r="G166" s="23" t="s">
        <v>167</v>
      </c>
      <c r="H166" s="23" t="s">
        <v>47</v>
      </c>
      <c r="I166" s="23" t="s">
        <v>49</v>
      </c>
      <c r="J166" s="13"/>
    </row>
    <row r="167" spans="1:10">
      <c r="A167" s="27">
        <f>HYPERLINK("http://www.westlaw.com/Find/Default.wl?rs=dfa1.0&amp;vr=2.0&amp;DB=506&amp;FindType=Y&amp;SerialNum=2020476969",109)</f>
        <v>109</v>
      </c>
      <c r="B167" s="21" t="s">
        <v>748</v>
      </c>
      <c r="C167" s="36" t="s">
        <v>749</v>
      </c>
      <c r="D167" s="13"/>
      <c r="E167" s="13"/>
      <c r="F167" s="23" t="s">
        <v>78</v>
      </c>
      <c r="G167" s="23" t="s">
        <v>79</v>
      </c>
      <c r="H167" s="23" t="s">
        <v>100</v>
      </c>
      <c r="I167" s="23" t="s">
        <v>49</v>
      </c>
      <c r="J167" s="13"/>
    </row>
    <row r="168" spans="1:10">
      <c r="A168" s="27">
        <f>HYPERLINK("http://www.westlaw.com/Find/Default.wl?rs=dfa1.0&amp;vr=2.0&amp;DB=506&amp;FindType=Y&amp;SerialNum=2020414549",110)</f>
        <v>110</v>
      </c>
      <c r="B168" s="21" t="s">
        <v>750</v>
      </c>
      <c r="C168" s="36" t="s">
        <v>751</v>
      </c>
      <c r="D168" s="13"/>
      <c r="E168" s="13"/>
      <c r="F168" s="23" t="s">
        <v>78</v>
      </c>
      <c r="G168" s="23" t="s">
        <v>79</v>
      </c>
      <c r="H168" s="23" t="s">
        <v>47</v>
      </c>
      <c r="I168" s="23" t="s">
        <v>49</v>
      </c>
      <c r="J168" s="13"/>
    </row>
    <row r="169" spans="1:10">
      <c r="A169" s="27">
        <f>HYPERLINK("http://www.westlaw.com/Find/Default.wl?rs=dfa1.0&amp;vr=2.0&amp;DB=506&amp;FindType=Y&amp;SerialNum=2020830611",111)</f>
        <v>111</v>
      </c>
      <c r="B169" s="21" t="s">
        <v>525</v>
      </c>
      <c r="C169" s="36" t="s">
        <v>752</v>
      </c>
      <c r="D169" s="13"/>
      <c r="E169" s="13"/>
      <c r="F169" s="23" t="s">
        <v>78</v>
      </c>
      <c r="G169" s="23" t="s">
        <v>79</v>
      </c>
      <c r="H169" s="23" t="s">
        <v>100</v>
      </c>
      <c r="I169" s="23" t="s">
        <v>49</v>
      </c>
      <c r="J169" s="13"/>
    </row>
    <row r="170" spans="1:10">
      <c r="A170" s="27">
        <f>HYPERLINK("http://www.westlaw.com/Find/Default.wl?rs=dfa1.0&amp;vr=2.0&amp;DB=506&amp;FindType=Y&amp;SerialNum=2020345950",112)</f>
        <v>112</v>
      </c>
      <c r="B170" s="21" t="s">
        <v>753</v>
      </c>
      <c r="C170" s="36" t="s">
        <v>754</v>
      </c>
      <c r="D170" s="13"/>
      <c r="E170" s="13"/>
      <c r="F170" s="23" t="s">
        <v>78</v>
      </c>
      <c r="G170" s="23" t="s">
        <v>79</v>
      </c>
      <c r="H170" s="23" t="s">
        <v>47</v>
      </c>
      <c r="I170" s="23" t="s">
        <v>49</v>
      </c>
      <c r="J170" s="13"/>
    </row>
    <row r="171" spans="1:10">
      <c r="A171" s="27">
        <f>HYPERLINK("http://www.westlaw.com/Find/Default.wl?rs=dfa1.0&amp;vr=2.0&amp;DB=506&amp;FindType=Y&amp;SerialNum=2020335485",113)</f>
        <v>113</v>
      </c>
      <c r="B171" s="21" t="s">
        <v>755</v>
      </c>
      <c r="C171" s="36" t="s">
        <v>756</v>
      </c>
      <c r="D171" s="13"/>
      <c r="E171" s="13"/>
      <c r="F171" s="23" t="s">
        <v>78</v>
      </c>
      <c r="G171" s="23" t="s">
        <v>167</v>
      </c>
      <c r="H171" s="23" t="s">
        <v>47</v>
      </c>
      <c r="I171" s="23" t="s">
        <v>49</v>
      </c>
      <c r="J171" s="13"/>
    </row>
    <row r="172" spans="1:10">
      <c r="A172" s="27">
        <f>HYPERLINK("http://www.westlaw.com/Find/Default.wl?rs=dfa1.0&amp;vr=2.0&amp;DB=506&amp;FindType=Y&amp;SerialNum=2020335489",114)</f>
        <v>114</v>
      </c>
      <c r="B172" s="21" t="s">
        <v>757</v>
      </c>
      <c r="C172" s="36" t="s">
        <v>758</v>
      </c>
      <c r="D172" s="13"/>
      <c r="E172" s="13"/>
      <c r="F172" s="23" t="s">
        <v>78</v>
      </c>
      <c r="G172" s="23" t="s">
        <v>167</v>
      </c>
      <c r="H172" s="23" t="s">
        <v>47</v>
      </c>
      <c r="I172" s="23" t="s">
        <v>49</v>
      </c>
      <c r="J172" s="13"/>
    </row>
    <row r="173" spans="1:10">
      <c r="A173" s="27">
        <f>HYPERLINK("http://www.westlaw.com/Find/Default.wl?rs=dfa1.0&amp;vr=2.0&amp;DB=506&amp;FindType=Y&amp;SerialNum=2020282946",115)</f>
        <v>115</v>
      </c>
      <c r="B173" s="21" t="s">
        <v>759</v>
      </c>
      <c r="C173" s="36" t="s">
        <v>760</v>
      </c>
      <c r="D173" s="13"/>
      <c r="E173" s="13"/>
      <c r="F173" s="23" t="s">
        <v>78</v>
      </c>
      <c r="G173" s="23" t="s">
        <v>79</v>
      </c>
      <c r="H173" s="23" t="s">
        <v>761</v>
      </c>
      <c r="I173" s="23" t="s">
        <v>49</v>
      </c>
      <c r="J173" s="13"/>
    </row>
    <row r="174" spans="1:10">
      <c r="A174" s="27">
        <f>HYPERLINK("http://www.westlaw.com/Find/Default.wl?rs=dfa1.0&amp;vr=2.0&amp;DB=506&amp;FindType=Y&amp;SerialNum=2020174848",117)</f>
        <v>117</v>
      </c>
      <c r="B174" s="21" t="s">
        <v>762</v>
      </c>
      <c r="C174" s="36" t="s">
        <v>763</v>
      </c>
      <c r="D174" s="13"/>
      <c r="E174" s="13"/>
      <c r="F174" s="23" t="s">
        <v>78</v>
      </c>
      <c r="G174" s="23" t="s">
        <v>79</v>
      </c>
      <c r="H174" s="23" t="s">
        <v>100</v>
      </c>
      <c r="I174" s="23" t="s">
        <v>49</v>
      </c>
      <c r="J174" s="13"/>
    </row>
    <row r="175" spans="1:10">
      <c r="A175" s="27">
        <f>HYPERLINK("http://www.westlaw.com/Find/Default.wl?rs=dfa1.0&amp;vr=2.0&amp;DB=506&amp;FindType=Y&amp;SerialNum=2020121782",118)</f>
        <v>118</v>
      </c>
      <c r="B175" s="21" t="s">
        <v>764</v>
      </c>
      <c r="C175" s="36" t="s">
        <v>765</v>
      </c>
      <c r="D175" s="13"/>
      <c r="E175" s="13"/>
      <c r="F175" s="23" t="s">
        <v>78</v>
      </c>
      <c r="G175" s="23" t="s">
        <v>167</v>
      </c>
      <c r="H175" s="23" t="s">
        <v>100</v>
      </c>
      <c r="I175" s="23" t="s">
        <v>49</v>
      </c>
      <c r="J175" s="13"/>
    </row>
    <row r="176" spans="1:10">
      <c r="A176" s="27">
        <f>HYPERLINK("http://www.westlaw.com/Find/Default.wl?rs=dfa1.0&amp;vr=2.0&amp;FindType=Y&amp;SerialNum=2023213721",119)</f>
        <v>119</v>
      </c>
      <c r="B176" s="21" t="s">
        <v>766</v>
      </c>
      <c r="C176" s="36" t="s">
        <v>767</v>
      </c>
      <c r="D176" s="13"/>
      <c r="E176" s="13"/>
      <c r="F176" s="23" t="s">
        <v>78</v>
      </c>
      <c r="G176" s="23" t="s">
        <v>167</v>
      </c>
      <c r="H176" s="23" t="s">
        <v>79</v>
      </c>
      <c r="I176" s="23" t="s">
        <v>49</v>
      </c>
      <c r="J176" s="13"/>
    </row>
    <row r="177" spans="1:10">
      <c r="A177" s="27">
        <f>HYPERLINK("http://www.westlaw.com/Find/Default.wl?rs=dfa1.0&amp;vr=2.0&amp;FindType=Y&amp;SerialNum=2023218920",120)</f>
        <v>120</v>
      </c>
      <c r="B177" s="21" t="s">
        <v>768</v>
      </c>
      <c r="C177" s="36" t="s">
        <v>769</v>
      </c>
      <c r="D177" s="13"/>
      <c r="E177" s="13"/>
      <c r="F177" s="23" t="s">
        <v>78</v>
      </c>
      <c r="G177" s="23" t="s">
        <v>79</v>
      </c>
      <c r="H177" s="23" t="s">
        <v>47</v>
      </c>
      <c r="I177" s="23" t="s">
        <v>49</v>
      </c>
      <c r="J177" s="13"/>
    </row>
    <row r="178" spans="1:10">
      <c r="A178" s="27">
        <f>HYPERLINK("http://www.westlaw.com/Find/Default.wl?rs=dfa1.0&amp;vr=2.0&amp;FindType=Y&amp;SerialNum=2024353977",121)</f>
        <v>121</v>
      </c>
      <c r="B178" s="21" t="s">
        <v>770</v>
      </c>
      <c r="C178" s="36" t="s">
        <v>771</v>
      </c>
      <c r="D178" s="13"/>
      <c r="E178" s="13"/>
      <c r="F178" s="23" t="s">
        <v>78</v>
      </c>
      <c r="G178" s="23" t="s">
        <v>79</v>
      </c>
      <c r="H178" s="23" t="s">
        <v>772</v>
      </c>
      <c r="I178" s="23" t="s">
        <v>49</v>
      </c>
      <c r="J178" s="13"/>
    </row>
    <row r="179" spans="1:10">
      <c r="A179" s="27">
        <f>HYPERLINK("http://www.westlaw.com/Find/Default.wl?rs=dfa1.0&amp;vr=2.0&amp;FindType=Y&amp;SerialNum=2023248167",122)</f>
        <v>122</v>
      </c>
      <c r="B179" s="21" t="s">
        <v>773</v>
      </c>
      <c r="C179" s="36" t="s">
        <v>774</v>
      </c>
      <c r="D179" s="13"/>
      <c r="E179" s="13"/>
      <c r="F179" s="23" t="s">
        <v>78</v>
      </c>
      <c r="G179" s="23" t="s">
        <v>79</v>
      </c>
      <c r="H179" s="23" t="s">
        <v>47</v>
      </c>
      <c r="I179" s="23" t="s">
        <v>49</v>
      </c>
      <c r="J179" s="13"/>
    </row>
    <row r="180" spans="1:10" ht="24">
      <c r="A180" s="27">
        <f>HYPERLINK("http://www.westlaw.com/Find/Default.wl?rs=dfa1.0&amp;vr=2.0&amp;DB=26&amp;FindType=Y&amp;SerialNum=2023208568",123)</f>
        <v>123</v>
      </c>
      <c r="B180" s="21" t="s">
        <v>775</v>
      </c>
      <c r="C180" s="36" t="s">
        <v>776</v>
      </c>
      <c r="D180" s="23"/>
      <c r="E180" s="23"/>
      <c r="F180" s="23" t="s">
        <v>78</v>
      </c>
      <c r="G180" s="23" t="s">
        <v>167</v>
      </c>
      <c r="H180" s="23" t="s">
        <v>79</v>
      </c>
      <c r="I180" s="23" t="s">
        <v>49</v>
      </c>
      <c r="J180" s="23"/>
    </row>
    <row r="181" spans="1:10">
      <c r="A181" s="27">
        <f>HYPERLINK("http://www.westlaw.com/Find/Default.wl?rs=dfa1.0&amp;vr=2.0&amp;FindType=Y&amp;SerialNum=2023155118",124)</f>
        <v>124</v>
      </c>
      <c r="B181" s="21" t="s">
        <v>699</v>
      </c>
      <c r="C181" s="36" t="s">
        <v>777</v>
      </c>
      <c r="D181" s="13"/>
      <c r="E181" s="13"/>
      <c r="F181" s="23" t="s">
        <v>78</v>
      </c>
      <c r="G181" s="23" t="s">
        <v>778</v>
      </c>
      <c r="H181" s="23" t="s">
        <v>47</v>
      </c>
      <c r="I181" s="23" t="s">
        <v>49</v>
      </c>
      <c r="J181" s="13"/>
    </row>
    <row r="182" spans="1:10">
      <c r="A182" s="27">
        <f>HYPERLINK("http://www.westlaw.com/Find/Default.wl?rs=dfa1.0&amp;vr=2.0&amp;FindType=Y&amp;SerialNum=2023622221",125)</f>
        <v>125</v>
      </c>
      <c r="B182" s="21" t="s">
        <v>779</v>
      </c>
      <c r="C182" s="36" t="s">
        <v>780</v>
      </c>
      <c r="D182" s="13"/>
      <c r="E182" s="13"/>
      <c r="F182" s="23" t="s">
        <v>78</v>
      </c>
      <c r="G182" s="23" t="s">
        <v>79</v>
      </c>
      <c r="H182" s="23" t="s">
        <v>79</v>
      </c>
      <c r="I182" s="23" t="s">
        <v>49</v>
      </c>
      <c r="J182" s="13"/>
    </row>
    <row r="183" spans="1:10">
      <c r="A183" s="27">
        <f>HYPERLINK("http://www.westlaw.com/Find/Default.wl?rs=dfa1.0&amp;vr=2.0&amp;DB=109&amp;FindType=Y&amp;SerialNum=2022999627",126)</f>
        <v>126</v>
      </c>
      <c r="B183" s="21" t="s">
        <v>781</v>
      </c>
      <c r="C183" s="36" t="s">
        <v>782</v>
      </c>
      <c r="D183" s="13"/>
      <c r="E183" s="13"/>
      <c r="F183" s="23" t="s">
        <v>78</v>
      </c>
      <c r="G183" s="23" t="s">
        <v>79</v>
      </c>
      <c r="H183" s="23" t="s">
        <v>100</v>
      </c>
      <c r="I183" s="23" t="s">
        <v>49</v>
      </c>
      <c r="J183" s="13"/>
    </row>
    <row r="184" spans="1:10">
      <c r="A184" s="27">
        <f>HYPERLINK("http://www.westlaw.com/Find/Default.wl?rs=dfa1.0&amp;vr=2.0&amp;DB=4637&amp;FindType=Y&amp;SerialNum=2023081527",127)</f>
        <v>127</v>
      </c>
      <c r="B184" s="21" t="s">
        <v>783</v>
      </c>
      <c r="C184" s="36" t="s">
        <v>784</v>
      </c>
      <c r="D184" s="13"/>
      <c r="E184" s="13"/>
      <c r="F184" s="23" t="s">
        <v>78</v>
      </c>
      <c r="G184" s="23" t="s">
        <v>79</v>
      </c>
      <c r="H184" s="23" t="s">
        <v>47</v>
      </c>
      <c r="I184" s="23" t="s">
        <v>49</v>
      </c>
      <c r="J184" s="13"/>
    </row>
    <row r="185" spans="1:10" ht="24">
      <c r="A185" s="27">
        <f>HYPERLINK("http://www.westlaw.com/Find/Default.wl?rs=dfa1.0&amp;vr=2.0&amp;DB=4637&amp;FindType=Y&amp;SerialNum=2022952882",128)</f>
        <v>128</v>
      </c>
      <c r="B185" s="21" t="s">
        <v>785</v>
      </c>
      <c r="C185" s="36" t="s">
        <v>786</v>
      </c>
      <c r="D185" s="13"/>
      <c r="E185" s="13"/>
      <c r="F185" s="23" t="s">
        <v>78</v>
      </c>
      <c r="G185" s="23" t="s">
        <v>79</v>
      </c>
      <c r="H185" s="23" t="s">
        <v>47</v>
      </c>
      <c r="I185" s="23" t="s">
        <v>49</v>
      </c>
      <c r="J185" s="13"/>
    </row>
    <row r="186" spans="1:10">
      <c r="A186" s="27">
        <f>HYPERLINK("http://www.westlaw.com/Find/Default.wl?rs=dfa1.0&amp;vr=2.0&amp;FindType=Y&amp;SerialNum=2022917984",129)</f>
        <v>129</v>
      </c>
      <c r="B186" s="21" t="s">
        <v>787</v>
      </c>
      <c r="C186" s="36" t="s">
        <v>788</v>
      </c>
      <c r="D186" s="13"/>
      <c r="E186" s="13"/>
      <c r="F186" s="23" t="s">
        <v>78</v>
      </c>
      <c r="G186" s="23" t="s">
        <v>79</v>
      </c>
      <c r="H186" s="23" t="s">
        <v>789</v>
      </c>
      <c r="I186" s="23" t="s">
        <v>49</v>
      </c>
      <c r="J186" s="13"/>
    </row>
    <row r="187" spans="1:10">
      <c r="A187" s="27">
        <f>HYPERLINK("http://www.westlaw.com/Find/Default.wl?rs=dfa1.0&amp;vr=2.0&amp;FindType=Y&amp;SerialNum=2022905144",130)</f>
        <v>130</v>
      </c>
      <c r="B187" s="21" t="s">
        <v>790</v>
      </c>
      <c r="C187" s="36" t="s">
        <v>791</v>
      </c>
      <c r="D187" s="13"/>
      <c r="E187" s="13"/>
      <c r="F187" s="23" t="s">
        <v>78</v>
      </c>
      <c r="G187" s="23" t="s">
        <v>167</v>
      </c>
      <c r="H187" s="23" t="s">
        <v>100</v>
      </c>
      <c r="I187" s="23" t="s">
        <v>49</v>
      </c>
      <c r="J187" s="13"/>
    </row>
    <row r="188" spans="1:10" ht="24">
      <c r="A188" s="27">
        <f>HYPERLINK("http://www.westlaw.com/Find/Default.wl?rs=dfa1.0&amp;vr=2.0&amp;DB=868&amp;FindType=Y&amp;SerialNum=2022917976",131)</f>
        <v>131</v>
      </c>
      <c r="B188" s="21" t="s">
        <v>792</v>
      </c>
      <c r="C188" s="36" t="s">
        <v>793</v>
      </c>
      <c r="D188" s="13"/>
      <c r="E188" s="13"/>
      <c r="F188" s="23" t="s">
        <v>78</v>
      </c>
      <c r="G188" s="23" t="s">
        <v>79</v>
      </c>
      <c r="H188" s="23" t="s">
        <v>47</v>
      </c>
      <c r="I188" s="23" t="s">
        <v>49</v>
      </c>
      <c r="J188" s="13"/>
    </row>
    <row r="189" spans="1:10">
      <c r="A189" s="27">
        <f>HYPERLINK("http://www.westlaw.com/Find/Default.wl?rs=dfa1.0&amp;vr=2.0&amp;FindType=Y&amp;SerialNum=2022876358",132)</f>
        <v>132</v>
      </c>
      <c r="B189" s="21" t="s">
        <v>794</v>
      </c>
      <c r="C189" s="36" t="s">
        <v>795</v>
      </c>
      <c r="D189" s="13"/>
      <c r="E189" s="13"/>
      <c r="F189" s="23" t="s">
        <v>78</v>
      </c>
      <c r="G189" s="23" t="s">
        <v>79</v>
      </c>
      <c r="H189" s="23" t="s">
        <v>100</v>
      </c>
      <c r="I189" s="23" t="s">
        <v>49</v>
      </c>
      <c r="J189" s="13"/>
    </row>
    <row r="190" spans="1:10">
      <c r="A190" s="27">
        <f>HYPERLINK("http://www.westlaw.com/Find/Default.wl?rs=dfa1.0&amp;vr=2.0&amp;FindType=Y&amp;SerialNum=2022799962",133)</f>
        <v>133</v>
      </c>
      <c r="B190" s="21" t="s">
        <v>796</v>
      </c>
      <c r="C190" s="36" t="s">
        <v>797</v>
      </c>
      <c r="D190" s="13"/>
      <c r="E190" s="13"/>
      <c r="F190" s="23" t="s">
        <v>78</v>
      </c>
      <c r="G190" s="23" t="s">
        <v>79</v>
      </c>
      <c r="H190" s="23" t="s">
        <v>79</v>
      </c>
      <c r="I190" s="23" t="s">
        <v>49</v>
      </c>
      <c r="J190" s="13"/>
    </row>
    <row r="191" spans="1:10">
      <c r="A191" s="27">
        <f>HYPERLINK("http://www.westlaw.com/Find/Default.wl?rs=dfa1.0&amp;vr=2.0&amp;FindType=Y&amp;SerialNum=2022800340",134)</f>
        <v>134</v>
      </c>
      <c r="B191" s="21" t="s">
        <v>798</v>
      </c>
      <c r="C191" s="36" t="s">
        <v>799</v>
      </c>
      <c r="D191" s="13"/>
      <c r="E191" s="13"/>
      <c r="F191" s="23" t="s">
        <v>78</v>
      </c>
      <c r="G191" s="23" t="s">
        <v>167</v>
      </c>
      <c r="H191" s="23" t="s">
        <v>47</v>
      </c>
      <c r="I191" s="23" t="s">
        <v>49</v>
      </c>
      <c r="J191" s="13"/>
    </row>
    <row r="192" spans="1:10">
      <c r="A192" s="27">
        <f>HYPERLINK("http://www.westlaw.com/Find/Default.wl?rs=dfa1.0&amp;vr=2.0&amp;FindType=Y&amp;SerialNum=2022791304",135)</f>
        <v>135</v>
      </c>
      <c r="B192" s="21" t="s">
        <v>800</v>
      </c>
      <c r="C192" s="36" t="s">
        <v>801</v>
      </c>
      <c r="D192" s="13"/>
      <c r="E192" s="13"/>
      <c r="F192" s="23" t="s">
        <v>78</v>
      </c>
      <c r="G192" s="23" t="s">
        <v>79</v>
      </c>
      <c r="H192" s="23" t="s">
        <v>79</v>
      </c>
      <c r="I192" s="23" t="s">
        <v>49</v>
      </c>
      <c r="J192" s="13"/>
    </row>
    <row r="193" spans="1:10" ht="24">
      <c r="A193" s="27">
        <f>HYPERLINK("http://www.westlaw.com/Find/Default.wl?rs=dfa1.0&amp;vr=2.0&amp;FindType=Y&amp;SerialNum=2022750980",136)</f>
        <v>136</v>
      </c>
      <c r="B193" s="21" t="s">
        <v>802</v>
      </c>
      <c r="C193" s="36" t="s">
        <v>803</v>
      </c>
      <c r="D193" s="13"/>
      <c r="E193" s="13"/>
      <c r="F193" s="23" t="s">
        <v>78</v>
      </c>
      <c r="G193" s="23" t="s">
        <v>167</v>
      </c>
      <c r="H193" s="23" t="s">
        <v>100</v>
      </c>
      <c r="I193" s="23" t="s">
        <v>49</v>
      </c>
      <c r="J193" s="13"/>
    </row>
    <row r="194" spans="1:10">
      <c r="A194" s="27">
        <f>HYPERLINK("http://www.westlaw.com/Find/Default.wl?rs=dfa1.0&amp;vr=2.0&amp;FindType=Y&amp;SerialNum=2022752077",137)</f>
        <v>137</v>
      </c>
      <c r="B194" s="21" t="s">
        <v>804</v>
      </c>
      <c r="C194" s="36" t="s">
        <v>805</v>
      </c>
      <c r="D194" s="13"/>
      <c r="E194" s="13"/>
      <c r="F194" s="23" t="s">
        <v>78</v>
      </c>
      <c r="G194" s="23" t="s">
        <v>79</v>
      </c>
      <c r="H194" s="23" t="s">
        <v>100</v>
      </c>
      <c r="I194" s="23" t="s">
        <v>49</v>
      </c>
      <c r="J194" s="13"/>
    </row>
    <row r="195" spans="1:10">
      <c r="A195" s="27">
        <f>HYPERLINK("http://www.westlaw.com/Find/Default.wl?rs=dfa1.0&amp;vr=2.0&amp;DB=4637&amp;FindType=Y&amp;SerialNum=2022762962",138)</f>
        <v>138</v>
      </c>
      <c r="B195" s="21" t="s">
        <v>806</v>
      </c>
      <c r="C195" s="36" t="s">
        <v>807</v>
      </c>
      <c r="D195" s="13"/>
      <c r="E195" s="13"/>
      <c r="F195" s="23" t="s">
        <v>78</v>
      </c>
      <c r="G195" s="23" t="s">
        <v>79</v>
      </c>
      <c r="H195" s="23" t="s">
        <v>79</v>
      </c>
      <c r="I195" s="23" t="s">
        <v>49</v>
      </c>
      <c r="J195" s="13"/>
    </row>
    <row r="196" spans="1:10">
      <c r="A196" s="27">
        <f>HYPERLINK("http://www.westlaw.com/Find/Default.wl?rs=dfa1.0&amp;vr=2.0&amp;FindType=Y&amp;SerialNum=2022749189",139)</f>
        <v>139</v>
      </c>
      <c r="B196" s="21" t="s">
        <v>226</v>
      </c>
      <c r="C196" s="36" t="s">
        <v>808</v>
      </c>
      <c r="D196" s="13"/>
      <c r="E196" s="13"/>
      <c r="F196" s="23" t="s">
        <v>78</v>
      </c>
      <c r="G196" s="23" t="s">
        <v>79</v>
      </c>
      <c r="H196" s="23" t="s">
        <v>47</v>
      </c>
      <c r="I196" s="23" t="s">
        <v>49</v>
      </c>
      <c r="J196" s="13"/>
    </row>
    <row r="197" spans="1:10">
      <c r="A197" s="27">
        <f>HYPERLINK("http://www.westlaw.com/Find/Default.wl?rs=dfa1.0&amp;vr=2.0&amp;FindType=Y&amp;SerialNum=2022717813",140)</f>
        <v>140</v>
      </c>
      <c r="B197" s="21" t="s">
        <v>809</v>
      </c>
      <c r="C197" s="36" t="s">
        <v>810</v>
      </c>
      <c r="D197" s="13"/>
      <c r="E197" s="13"/>
      <c r="F197" s="23" t="s">
        <v>78</v>
      </c>
      <c r="G197" s="23" t="s">
        <v>167</v>
      </c>
      <c r="H197" s="23" t="s">
        <v>79</v>
      </c>
      <c r="I197" s="23" t="s">
        <v>49</v>
      </c>
      <c r="J197" s="13"/>
    </row>
    <row r="198" spans="1:10">
      <c r="A198" s="27">
        <f>HYPERLINK("http://www.westlaw.com/Find/Default.wl?rs=dfa1.0&amp;vr=2.0&amp;FindType=Y&amp;SerialNum=2023136291",141)</f>
        <v>141</v>
      </c>
      <c r="B198" s="21" t="s">
        <v>811</v>
      </c>
      <c r="C198" s="36" t="s">
        <v>812</v>
      </c>
      <c r="D198" s="13"/>
      <c r="E198" s="13"/>
      <c r="F198" s="23" t="s">
        <v>78</v>
      </c>
      <c r="G198" s="23" t="s">
        <v>167</v>
      </c>
      <c r="H198" s="23" t="s">
        <v>79</v>
      </c>
      <c r="I198" s="23" t="s">
        <v>49</v>
      </c>
      <c r="J198" s="13"/>
    </row>
    <row r="199" spans="1:10">
      <c r="A199" s="27">
        <f>HYPERLINK("http://www.westlaw.com/Find/Default.wl?rs=dfa1.0&amp;vr=2.0&amp;FindType=Y&amp;SerialNum=2022683672",142)</f>
        <v>142</v>
      </c>
      <c r="B199" s="21" t="s">
        <v>813</v>
      </c>
      <c r="C199" s="36" t="s">
        <v>814</v>
      </c>
      <c r="D199" s="13"/>
      <c r="E199" s="13"/>
      <c r="F199" s="23" t="s">
        <v>78</v>
      </c>
      <c r="G199" s="23" t="s">
        <v>167</v>
      </c>
      <c r="H199" s="23" t="s">
        <v>100</v>
      </c>
      <c r="I199" s="23" t="s">
        <v>49</v>
      </c>
      <c r="J199" s="13"/>
    </row>
    <row r="200" spans="1:10">
      <c r="A200" s="27">
        <f>HYPERLINK("http://www.westlaw.com/Find/Default.wl?rs=dfa1.0&amp;vr=2.0&amp;FindType=Y&amp;SerialNum=2024150844",143)</f>
        <v>143</v>
      </c>
      <c r="B200" s="21" t="s">
        <v>815</v>
      </c>
      <c r="C200" s="36" t="s">
        <v>816</v>
      </c>
      <c r="D200" s="13"/>
      <c r="E200" s="13"/>
      <c r="F200" s="23" t="s">
        <v>78</v>
      </c>
      <c r="G200" s="23" t="s">
        <v>79</v>
      </c>
      <c r="H200" s="23" t="s">
        <v>100</v>
      </c>
      <c r="I200" s="23" t="s">
        <v>49</v>
      </c>
      <c r="J200" s="13"/>
    </row>
    <row r="201" spans="1:10">
      <c r="A201" s="27">
        <f>HYPERLINK("http://www.westlaw.com/Find/Default.wl?rs=dfa1.0&amp;vr=2.0&amp;DB=4637&amp;FindType=Y&amp;SerialNum=2022626754",144)</f>
        <v>144</v>
      </c>
      <c r="B201" s="21" t="s">
        <v>817</v>
      </c>
      <c r="C201" s="36" t="s">
        <v>818</v>
      </c>
      <c r="D201" s="13"/>
      <c r="E201" s="13"/>
      <c r="F201" s="23" t="s">
        <v>78</v>
      </c>
      <c r="G201" s="23" t="s">
        <v>167</v>
      </c>
      <c r="H201" s="23" t="s">
        <v>79</v>
      </c>
      <c r="I201" s="23" t="s">
        <v>49</v>
      </c>
      <c r="J201" s="13"/>
    </row>
    <row r="202" spans="1:10" ht="24">
      <c r="A202" s="27">
        <f>HYPERLINK("http://www.westlaw.com/Find/Default.wl?rs=dfa1.0&amp;vr=2.0&amp;FindType=Y&amp;SerialNum=2022667173",145)</f>
        <v>145</v>
      </c>
      <c r="B202" s="21" t="s">
        <v>819</v>
      </c>
      <c r="C202" s="36" t="s">
        <v>820</v>
      </c>
      <c r="D202" s="13"/>
      <c r="E202" s="13"/>
      <c r="F202" s="23" t="s">
        <v>78</v>
      </c>
      <c r="G202" s="23" t="s">
        <v>79</v>
      </c>
      <c r="H202" s="23" t="s">
        <v>100</v>
      </c>
      <c r="I202" s="23" t="s">
        <v>49</v>
      </c>
      <c r="J202" s="13"/>
    </row>
    <row r="203" spans="1:10">
      <c r="A203" s="27">
        <f>HYPERLINK("http://www.westlaw.com/Find/Default.wl?rs=dfa1.0&amp;vr=2.0&amp;FindType=Y&amp;SerialNum=2022668583",146)</f>
        <v>146</v>
      </c>
      <c r="B203" s="21" t="s">
        <v>821</v>
      </c>
      <c r="C203" s="36" t="s">
        <v>822</v>
      </c>
      <c r="D203" s="23"/>
      <c r="E203" s="23"/>
      <c r="F203" s="23" t="s">
        <v>78</v>
      </c>
      <c r="G203" s="23" t="s">
        <v>79</v>
      </c>
      <c r="H203" s="23" t="s">
        <v>79</v>
      </c>
      <c r="I203" s="23" t="s">
        <v>49</v>
      </c>
      <c r="J203" s="23"/>
    </row>
    <row r="204" spans="1:10">
      <c r="A204" s="27">
        <f>HYPERLINK("http://www.westlaw.com/Find/Default.wl?rs=dfa1.0&amp;vr=2.0&amp;FindType=Y&amp;SerialNum=2022574761",147)</f>
        <v>147</v>
      </c>
      <c r="B204" s="21" t="s">
        <v>823</v>
      </c>
      <c r="C204" s="36" t="s">
        <v>824</v>
      </c>
      <c r="D204" s="23"/>
      <c r="E204" s="23"/>
      <c r="F204" s="23" t="s">
        <v>78</v>
      </c>
      <c r="G204" s="23" t="s">
        <v>167</v>
      </c>
      <c r="H204" s="23" t="s">
        <v>100</v>
      </c>
      <c r="I204" s="23" t="s">
        <v>49</v>
      </c>
      <c r="J204" s="23"/>
    </row>
    <row r="205" spans="1:10">
      <c r="A205" s="27">
        <f>HYPERLINK("http://www.westlaw.com/Find/Default.wl?rs=dfa1.0&amp;vr=2.0&amp;FindType=Y&amp;SerialNum=2022773893",148)</f>
        <v>148</v>
      </c>
      <c r="B205" s="21" t="s">
        <v>825</v>
      </c>
      <c r="C205" s="36" t="s">
        <v>826</v>
      </c>
      <c r="D205" s="23"/>
      <c r="E205" s="23"/>
      <c r="F205" s="23" t="s">
        <v>78</v>
      </c>
      <c r="G205" s="23" t="s">
        <v>167</v>
      </c>
      <c r="H205" s="23" t="s">
        <v>827</v>
      </c>
      <c r="I205" s="23" t="s">
        <v>49</v>
      </c>
      <c r="J205" s="23"/>
    </row>
    <row r="206" spans="1:10">
      <c r="A206" s="27">
        <f>HYPERLINK("http://www.westlaw.com/Find/Default.wl?rs=dfa1.0&amp;vr=2.0&amp;DB=164&amp;FindType=Y&amp;SerialNum=2022533392",149)</f>
        <v>149</v>
      </c>
      <c r="B206" s="21" t="s">
        <v>828</v>
      </c>
      <c r="C206" s="36" t="s">
        <v>829</v>
      </c>
      <c r="D206" s="23"/>
      <c r="E206" s="23"/>
      <c r="F206" s="23" t="s">
        <v>78</v>
      </c>
      <c r="G206" s="23" t="s">
        <v>167</v>
      </c>
      <c r="H206" s="23" t="s">
        <v>100</v>
      </c>
      <c r="I206" s="23" t="s">
        <v>49</v>
      </c>
      <c r="J206" s="23"/>
    </row>
    <row r="207" spans="1:10">
      <c r="A207" s="27">
        <f>HYPERLINK("http://www.westlaw.com/Find/Default.wl?rs=dfa1.0&amp;vr=2.0&amp;FindType=Y&amp;SerialNum=2022532015",150)</f>
        <v>150</v>
      </c>
      <c r="B207" s="21" t="s">
        <v>830</v>
      </c>
      <c r="C207" s="36" t="s">
        <v>831</v>
      </c>
      <c r="D207" s="23"/>
      <c r="E207" s="23"/>
      <c r="F207" s="23" t="s">
        <v>78</v>
      </c>
      <c r="G207" s="23" t="s">
        <v>167</v>
      </c>
      <c r="H207" s="23" t="s">
        <v>100</v>
      </c>
      <c r="I207" s="23" t="s">
        <v>49</v>
      </c>
      <c r="J207" s="23"/>
    </row>
    <row r="208" spans="1:10">
      <c r="A208" s="27">
        <f>HYPERLINK("http://www.westlaw.com/Find/Default.wl?rs=dfa1.0&amp;vr=2.0&amp;DB=4637&amp;FindType=Y&amp;SerialNum=2022512859",151)</f>
        <v>151</v>
      </c>
      <c r="B208" s="21" t="s">
        <v>832</v>
      </c>
      <c r="C208" s="36" t="s">
        <v>833</v>
      </c>
      <c r="D208" s="23"/>
      <c r="E208" s="23"/>
      <c r="F208" s="23" t="s">
        <v>78</v>
      </c>
      <c r="G208" s="23" t="s">
        <v>167</v>
      </c>
      <c r="H208" s="23" t="s">
        <v>79</v>
      </c>
      <c r="I208" s="23" t="s">
        <v>49</v>
      </c>
      <c r="J208" s="23"/>
    </row>
    <row r="209" spans="1:10">
      <c r="A209" s="27">
        <f>HYPERLINK("http://www.westlaw.com/Find/Default.wl?rs=dfa1.0&amp;vr=2.0&amp;FindType=Y&amp;SerialNum=2022513316",152)</f>
        <v>152</v>
      </c>
      <c r="B209" s="21" t="s">
        <v>834</v>
      </c>
      <c r="C209" s="36" t="s">
        <v>835</v>
      </c>
      <c r="D209" s="23"/>
      <c r="E209" s="23"/>
      <c r="F209" s="23" t="s">
        <v>78</v>
      </c>
      <c r="G209" s="23" t="s">
        <v>79</v>
      </c>
      <c r="H209" s="23" t="s">
        <v>79</v>
      </c>
      <c r="I209" s="23" t="s">
        <v>49</v>
      </c>
      <c r="J209" s="23"/>
    </row>
    <row r="210" spans="1:10">
      <c r="A210" s="27">
        <f>HYPERLINK("http://www.westlaw.com/Find/Default.wl?rs=dfa1.0&amp;vr=2.0&amp;FindType=Y&amp;SerialNum=2022791313",153)</f>
        <v>153</v>
      </c>
      <c r="B210" s="21" t="s">
        <v>800</v>
      </c>
      <c r="C210" s="36" t="s">
        <v>836</v>
      </c>
      <c r="D210" s="23"/>
      <c r="E210" s="23"/>
      <c r="F210" s="23" t="s">
        <v>78</v>
      </c>
      <c r="G210" s="23" t="s">
        <v>167</v>
      </c>
      <c r="H210" s="23" t="s">
        <v>79</v>
      </c>
      <c r="I210" s="23" t="s">
        <v>49</v>
      </c>
      <c r="J210" s="23"/>
    </row>
    <row r="211" spans="1:10">
      <c r="A211" s="27">
        <f>HYPERLINK("http://www.westlaw.com/Find/Default.wl?rs=dfa1.0&amp;vr=2.0&amp;DB=4637&amp;FindType=Y&amp;SerialNum=2022493777",154)</f>
        <v>154</v>
      </c>
      <c r="B211" s="21" t="s">
        <v>837</v>
      </c>
      <c r="C211" s="36" t="s">
        <v>838</v>
      </c>
      <c r="D211" s="13"/>
      <c r="E211" s="13"/>
      <c r="F211" s="23" t="s">
        <v>78</v>
      </c>
      <c r="G211" s="23" t="s">
        <v>79</v>
      </c>
      <c r="H211" s="23" t="s">
        <v>100</v>
      </c>
      <c r="I211" s="23" t="s">
        <v>49</v>
      </c>
      <c r="J211" s="13"/>
    </row>
    <row r="212" spans="1:10">
      <c r="A212" s="27">
        <f>HYPERLINK("http://www.westlaw.com/Find/Default.wl?rs=dfa1.0&amp;vr=2.0&amp;FindType=Y&amp;SerialNum=2022497332",155)</f>
        <v>155</v>
      </c>
      <c r="B212" s="21" t="s">
        <v>839</v>
      </c>
      <c r="C212" s="36" t="s">
        <v>840</v>
      </c>
      <c r="D212" s="13"/>
      <c r="E212" s="13"/>
      <c r="F212" s="23" t="s">
        <v>78</v>
      </c>
      <c r="G212" s="23" t="s">
        <v>167</v>
      </c>
      <c r="H212" s="23" t="s">
        <v>47</v>
      </c>
      <c r="I212" s="23" t="s">
        <v>49</v>
      </c>
      <c r="J212" s="13"/>
    </row>
    <row r="213" spans="1:10">
      <c r="A213" s="27">
        <f>HYPERLINK("http://www.westlaw.com/Find/Default.wl?rs=dfa1.0&amp;vr=2.0&amp;FindType=Y&amp;SerialNum=2022494868",156)</f>
        <v>156</v>
      </c>
      <c r="B213" s="21" t="s">
        <v>841</v>
      </c>
      <c r="C213" s="36" t="s">
        <v>842</v>
      </c>
      <c r="D213" s="23"/>
      <c r="E213" s="23"/>
      <c r="F213" s="23" t="s">
        <v>78</v>
      </c>
      <c r="G213" s="23" t="s">
        <v>79</v>
      </c>
      <c r="H213" s="23" t="s">
        <v>79</v>
      </c>
      <c r="I213" s="23" t="s">
        <v>49</v>
      </c>
      <c r="J213" s="23"/>
    </row>
    <row r="214" spans="1:10">
      <c r="A214" s="27">
        <f>HYPERLINK("http://www.westlaw.com/Find/Default.wl?rs=dfa1.0&amp;vr=2.0&amp;DB=4637&amp;FindType=Y&amp;SerialNum=2022459756",157)</f>
        <v>157</v>
      </c>
      <c r="B214" s="21" t="s">
        <v>843</v>
      </c>
      <c r="C214" s="36" t="s">
        <v>844</v>
      </c>
      <c r="D214" s="23"/>
      <c r="E214" s="23"/>
      <c r="F214" s="23" t="s">
        <v>78</v>
      </c>
      <c r="G214" s="23" t="s">
        <v>167</v>
      </c>
      <c r="H214" s="23" t="s">
        <v>47</v>
      </c>
      <c r="I214" s="23" t="s">
        <v>49</v>
      </c>
      <c r="J214" s="23"/>
    </row>
    <row r="215" spans="1:10">
      <c r="A215" s="27">
        <f>HYPERLINK("http://www.westlaw.com/Find/Default.wl?rs=dfa1.0&amp;vr=2.0&amp;FindType=Y&amp;SerialNum=2022430480",158)</f>
        <v>158</v>
      </c>
      <c r="B215" s="21" t="s">
        <v>845</v>
      </c>
      <c r="C215" s="36" t="s">
        <v>846</v>
      </c>
      <c r="D215" s="23"/>
      <c r="E215" s="23"/>
      <c r="F215" s="23" t="s">
        <v>78</v>
      </c>
      <c r="G215" s="23" t="s">
        <v>79</v>
      </c>
      <c r="H215" s="23" t="s">
        <v>47</v>
      </c>
      <c r="I215" s="23" t="s">
        <v>49</v>
      </c>
      <c r="J215" s="23"/>
    </row>
    <row r="216" spans="1:10">
      <c r="A216" s="27">
        <f>HYPERLINK("http://www.westlaw.com/Find/Default.wl?rs=dfa1.0&amp;vr=2.0&amp;FindType=Y&amp;SerialNum=2022429059",160)</f>
        <v>160</v>
      </c>
      <c r="B216" s="21" t="s">
        <v>847</v>
      </c>
      <c r="C216" s="36" t="s">
        <v>848</v>
      </c>
      <c r="D216" s="13"/>
      <c r="E216" s="13"/>
      <c r="F216" s="23" t="s">
        <v>78</v>
      </c>
      <c r="G216" s="23" t="s">
        <v>79</v>
      </c>
      <c r="H216" s="23" t="s">
        <v>47</v>
      </c>
      <c r="I216" s="23" t="s">
        <v>49</v>
      </c>
      <c r="J216" s="13"/>
    </row>
    <row r="217" spans="1:10">
      <c r="A217" s="27">
        <f>HYPERLINK("http://www.westlaw.com/Find/Default.wl?rs=dfa1.0&amp;vr=2.0&amp;FindType=Y&amp;SerialNum=2022301242",162)</f>
        <v>162</v>
      </c>
      <c r="B217" s="21" t="s">
        <v>849</v>
      </c>
      <c r="C217" s="36" t="s">
        <v>850</v>
      </c>
      <c r="D217" s="13"/>
      <c r="E217" s="13"/>
      <c r="F217" s="23" t="s">
        <v>78</v>
      </c>
      <c r="G217" s="23" t="s">
        <v>167</v>
      </c>
      <c r="H217" s="23" t="s">
        <v>47</v>
      </c>
      <c r="I217" s="23" t="s">
        <v>49</v>
      </c>
      <c r="J217" s="13"/>
    </row>
    <row r="218" spans="1:10">
      <c r="A218" s="27">
        <f>HYPERLINK("http://www.westlaw.com/Find/Default.wl?rs=dfa1.0&amp;vr=2.0&amp;FindType=Y&amp;SerialNum=2022876256",164)</f>
        <v>164</v>
      </c>
      <c r="B218" s="21" t="s">
        <v>851</v>
      </c>
      <c r="C218" s="36" t="s">
        <v>852</v>
      </c>
      <c r="D218" s="13"/>
      <c r="E218" s="13"/>
      <c r="F218" s="23" t="s">
        <v>78</v>
      </c>
      <c r="G218" s="23" t="s">
        <v>167</v>
      </c>
      <c r="H218" s="23" t="s">
        <v>47</v>
      </c>
      <c r="I218" s="23" t="s">
        <v>49</v>
      </c>
      <c r="J218" s="13"/>
    </row>
    <row r="219" spans="1:10">
      <c r="A219" s="27">
        <f>HYPERLINK("http://www.westlaw.com/Find/Default.wl?rs=dfa1.0&amp;vr=2.0&amp;FindType=Y&amp;SerialNum=2022252407",165)</f>
        <v>165</v>
      </c>
      <c r="B219" s="21" t="s">
        <v>853</v>
      </c>
      <c r="C219" s="36" t="s">
        <v>854</v>
      </c>
      <c r="D219" s="13"/>
      <c r="E219" s="13"/>
      <c r="F219" s="23" t="s">
        <v>78</v>
      </c>
      <c r="G219" s="23" t="s">
        <v>167</v>
      </c>
      <c r="H219" s="23" t="s">
        <v>80</v>
      </c>
      <c r="I219" s="23" t="s">
        <v>49</v>
      </c>
      <c r="J219" s="13"/>
    </row>
    <row r="220" spans="1:10">
      <c r="A220" s="27">
        <f>HYPERLINK("http://www.westlaw.com/Find/Default.wl?rs=dfa1.0&amp;vr=2.0&amp;FindType=Y&amp;SerialNum=2022264782",166)</f>
        <v>166</v>
      </c>
      <c r="B220" s="21" t="s">
        <v>855</v>
      </c>
      <c r="C220" s="36" t="s">
        <v>856</v>
      </c>
      <c r="D220" s="23"/>
      <c r="E220" s="23"/>
      <c r="F220" s="23" t="s">
        <v>78</v>
      </c>
      <c r="G220" s="23" t="s">
        <v>167</v>
      </c>
      <c r="H220" s="23" t="s">
        <v>625</v>
      </c>
      <c r="I220" s="23" t="s">
        <v>49</v>
      </c>
      <c r="J220" s="23"/>
    </row>
    <row r="221" spans="1:10">
      <c r="A221" s="27">
        <f>HYPERLINK("http://www.westlaw.com/Find/Default.wl?rs=dfa1.0&amp;vr=2.0&amp;FindType=Y&amp;SerialNum=2022670389",167)</f>
        <v>167</v>
      </c>
      <c r="B221" s="21" t="s">
        <v>857</v>
      </c>
      <c r="C221" s="36" t="s">
        <v>858</v>
      </c>
      <c r="D221" s="23"/>
      <c r="E221" s="23"/>
      <c r="F221" s="23" t="s">
        <v>78</v>
      </c>
      <c r="G221" s="23" t="s">
        <v>167</v>
      </c>
      <c r="H221" s="23" t="s">
        <v>47</v>
      </c>
      <c r="I221" s="23" t="s">
        <v>49</v>
      </c>
      <c r="J221" s="23"/>
    </row>
    <row r="222" spans="1:10">
      <c r="A222" s="27">
        <f>HYPERLINK("http://www.westlaw.com/Find/Default.wl?rs=dfa1.0&amp;vr=2.0&amp;FindType=Y&amp;SerialNum=2022393708",168)</f>
        <v>168</v>
      </c>
      <c r="B222" s="21" t="s">
        <v>859</v>
      </c>
      <c r="C222" s="36" t="s">
        <v>860</v>
      </c>
      <c r="D222" s="23"/>
      <c r="E222" s="23"/>
      <c r="F222" s="23" t="s">
        <v>78</v>
      </c>
      <c r="G222" s="23" t="s">
        <v>167</v>
      </c>
      <c r="H222" s="23" t="s">
        <v>47</v>
      </c>
      <c r="I222" s="23" t="s">
        <v>49</v>
      </c>
      <c r="J222" s="23"/>
    </row>
    <row r="223" spans="1:10">
      <c r="A223" s="27">
        <f>HYPERLINK("http://www.westlaw.com/Find/Default.wl?rs=dfa1.0&amp;vr=2.0&amp;FindType=Y&amp;SerialNum=2022626737",169)</f>
        <v>169</v>
      </c>
      <c r="B223" s="21" t="s">
        <v>861</v>
      </c>
      <c r="C223" s="36" t="s">
        <v>862</v>
      </c>
      <c r="D223" s="23"/>
      <c r="E223" s="23"/>
      <c r="F223" s="23" t="s">
        <v>78</v>
      </c>
      <c r="G223" s="23" t="s">
        <v>167</v>
      </c>
      <c r="H223" s="23" t="s">
        <v>47</v>
      </c>
      <c r="I223" s="23" t="s">
        <v>49</v>
      </c>
      <c r="J223" s="23"/>
    </row>
    <row r="224" spans="1:10">
      <c r="A224" s="27">
        <f>HYPERLINK("http://www.westlaw.com/Find/Default.wl?rs=dfa1.0&amp;vr=2.0&amp;DB=26&amp;FindType=Y&amp;SerialNum=2021970964",170)</f>
        <v>170</v>
      </c>
      <c r="B224" s="21" t="s">
        <v>863</v>
      </c>
      <c r="C224" s="36" t="s">
        <v>864</v>
      </c>
      <c r="D224" s="23"/>
      <c r="E224" s="23"/>
      <c r="F224" s="23" t="s">
        <v>78</v>
      </c>
      <c r="G224" s="23" t="s">
        <v>79</v>
      </c>
      <c r="H224" s="23" t="s">
        <v>47</v>
      </c>
      <c r="I224" s="23" t="s">
        <v>49</v>
      </c>
      <c r="J224" s="23"/>
    </row>
    <row r="225" spans="1:10">
      <c r="A225" s="27">
        <f>HYPERLINK("http://www.westlaw.com/Find/Default.wl?rs=dfa1.0&amp;vr=2.0&amp;FindType=Y&amp;SerialNum=2021960614",171)</f>
        <v>171</v>
      </c>
      <c r="B225" s="21" t="s">
        <v>865</v>
      </c>
      <c r="C225" s="36" t="s">
        <v>866</v>
      </c>
      <c r="D225" s="23"/>
      <c r="E225" s="23"/>
      <c r="F225" s="23" t="s">
        <v>78</v>
      </c>
      <c r="G225" s="23" t="s">
        <v>79</v>
      </c>
      <c r="H225" s="23" t="s">
        <v>47</v>
      </c>
      <c r="I225" s="23" t="s">
        <v>49</v>
      </c>
      <c r="J225" s="23"/>
    </row>
    <row r="226" spans="1:10">
      <c r="A226" s="27">
        <f>HYPERLINK("http://www.westlaw.com/Find/Default.wl?rs=dfa1.0&amp;vr=2.0&amp;DB=4637&amp;FindType=Y&amp;SerialNum=2021984619",172)</f>
        <v>172</v>
      </c>
      <c r="B226" s="21" t="s">
        <v>867</v>
      </c>
      <c r="C226" s="36" t="s">
        <v>868</v>
      </c>
      <c r="D226" s="13"/>
      <c r="E226" s="13"/>
      <c r="F226" s="23" t="s">
        <v>78</v>
      </c>
      <c r="G226" s="23" t="s">
        <v>167</v>
      </c>
      <c r="H226" s="23" t="s">
        <v>47</v>
      </c>
      <c r="I226" s="23" t="s">
        <v>49</v>
      </c>
      <c r="J226" s="13"/>
    </row>
    <row r="227" spans="1:10">
      <c r="A227" s="27">
        <f>HYPERLINK("http://www.westlaw.com/Find/Default.wl?rs=dfa1.0&amp;vr=2.0&amp;FindType=Y&amp;SerialNum=2021925229",173)</f>
        <v>173</v>
      </c>
      <c r="B227" s="21" t="s">
        <v>869</v>
      </c>
      <c r="C227" s="36" t="s">
        <v>870</v>
      </c>
      <c r="D227" s="13"/>
      <c r="E227" s="13"/>
      <c r="F227" s="23" t="s">
        <v>78</v>
      </c>
      <c r="G227" s="23" t="s">
        <v>167</v>
      </c>
      <c r="H227" s="23" t="s">
        <v>100</v>
      </c>
      <c r="I227" s="23" t="s">
        <v>49</v>
      </c>
      <c r="J227" s="13"/>
    </row>
    <row r="228" spans="1:10">
      <c r="A228" s="27">
        <f>HYPERLINK("http://www.westlaw.com/Find/Default.wl?rs=dfa1.0&amp;vr=2.0&amp;DB=4637&amp;FindType=Y&amp;SerialNum=2021857968",174)</f>
        <v>174</v>
      </c>
      <c r="B228" s="21" t="s">
        <v>794</v>
      </c>
      <c r="C228" s="36" t="s">
        <v>871</v>
      </c>
      <c r="D228" s="13"/>
      <c r="E228" s="13"/>
      <c r="F228" s="23" t="s">
        <v>78</v>
      </c>
      <c r="G228" s="23" t="s">
        <v>79</v>
      </c>
      <c r="H228" s="23" t="s">
        <v>100</v>
      </c>
      <c r="I228" s="23" t="s">
        <v>49</v>
      </c>
      <c r="J228" s="13"/>
    </row>
    <row r="229" spans="1:10">
      <c r="A229" s="27">
        <f>HYPERLINK("http://www.westlaw.com/Find/Default.wl?rs=dfa1.0&amp;vr=2.0&amp;DB=4637&amp;FindType=Y&amp;SerialNum=2021834502",175)</f>
        <v>175</v>
      </c>
      <c r="B229" s="21" t="s">
        <v>872</v>
      </c>
      <c r="C229" s="36" t="s">
        <v>873</v>
      </c>
      <c r="D229" s="13"/>
      <c r="E229" s="13"/>
      <c r="F229" s="23" t="s">
        <v>78</v>
      </c>
      <c r="G229" s="23" t="s">
        <v>167</v>
      </c>
      <c r="H229" s="23" t="s">
        <v>79</v>
      </c>
      <c r="I229" s="23" t="s">
        <v>49</v>
      </c>
      <c r="J229" s="13"/>
    </row>
    <row r="230" spans="1:10">
      <c r="A230" s="27">
        <f>HYPERLINK("http://www.westlaw.com/Find/Default.wl?rs=dfa1.0&amp;vr=2.0&amp;FindType=Y&amp;SerialNum=2021834435",176)</f>
        <v>176</v>
      </c>
      <c r="B230" s="21" t="s">
        <v>874</v>
      </c>
      <c r="C230" s="36" t="s">
        <v>875</v>
      </c>
      <c r="D230" s="13"/>
      <c r="E230" s="13"/>
      <c r="F230" s="23" t="s">
        <v>78</v>
      </c>
      <c r="G230" s="23" t="s">
        <v>79</v>
      </c>
      <c r="H230" s="23" t="s">
        <v>79</v>
      </c>
      <c r="I230" s="23" t="s">
        <v>49</v>
      </c>
      <c r="J230" s="13"/>
    </row>
    <row r="231" spans="1:10">
      <c r="A231" s="27">
        <f>HYPERLINK("http://www.westlaw.com/Find/Default.wl?rs=dfa1.0&amp;vr=2.0&amp;DB=4637&amp;FindType=Y&amp;SerialNum=2021801115",177)</f>
        <v>177</v>
      </c>
      <c r="B231" s="21" t="s">
        <v>876</v>
      </c>
      <c r="C231" s="36" t="s">
        <v>877</v>
      </c>
      <c r="D231" s="13"/>
      <c r="E231" s="13"/>
      <c r="F231" s="23" t="s">
        <v>78</v>
      </c>
      <c r="G231" s="23" t="s">
        <v>167</v>
      </c>
      <c r="H231" s="23" t="s">
        <v>47</v>
      </c>
      <c r="I231" s="23" t="s">
        <v>49</v>
      </c>
      <c r="J231" s="13"/>
    </row>
    <row r="232" spans="1:10">
      <c r="A232" s="27">
        <f>HYPERLINK("http://www.westlaw.com/Find/Default.wl?rs=dfa1.0&amp;vr=2.0&amp;FindType=Y&amp;SerialNum=2021778584",179)</f>
        <v>179</v>
      </c>
      <c r="B232" s="21" t="s">
        <v>878</v>
      </c>
      <c r="C232" s="36" t="s">
        <v>879</v>
      </c>
      <c r="D232" s="13"/>
      <c r="E232" s="13"/>
      <c r="F232" s="23" t="s">
        <v>78</v>
      </c>
      <c r="G232" s="23" t="s">
        <v>79</v>
      </c>
      <c r="H232" s="23" t="s">
        <v>47</v>
      </c>
      <c r="I232" s="23" t="s">
        <v>49</v>
      </c>
      <c r="J232" s="13"/>
    </row>
    <row r="233" spans="1:10">
      <c r="A233" s="27">
        <f>HYPERLINK("http://www.westlaw.com/Find/Default.wl?rs=dfa1.0&amp;vr=2.0&amp;FindType=Y&amp;SerialNum=2021720906",180)</f>
        <v>180</v>
      </c>
      <c r="B233" s="21" t="s">
        <v>880</v>
      </c>
      <c r="C233" s="36" t="s">
        <v>881</v>
      </c>
      <c r="D233" s="13"/>
      <c r="E233" s="13"/>
      <c r="F233" s="23" t="s">
        <v>78</v>
      </c>
      <c r="G233" s="23" t="s">
        <v>167</v>
      </c>
      <c r="H233" s="23" t="s">
        <v>100</v>
      </c>
      <c r="I233" s="23" t="s">
        <v>49</v>
      </c>
      <c r="J233" s="13"/>
    </row>
    <row r="234" spans="1:10">
      <c r="A234" s="27">
        <f>HYPERLINK("http://www.westlaw.com/Find/Default.wl?rs=dfa1.0&amp;vr=2.0&amp;FindType=Y&amp;SerialNum=2021705249",181)</f>
        <v>181</v>
      </c>
      <c r="B234" s="21" t="s">
        <v>882</v>
      </c>
      <c r="C234" s="36" t="s">
        <v>883</v>
      </c>
      <c r="D234" s="13"/>
      <c r="E234" s="13"/>
      <c r="F234" s="23" t="s">
        <v>78</v>
      </c>
      <c r="G234" s="23" t="s">
        <v>167</v>
      </c>
      <c r="H234" s="23" t="s">
        <v>79</v>
      </c>
      <c r="I234" s="23" t="s">
        <v>49</v>
      </c>
      <c r="J234" s="13"/>
    </row>
    <row r="235" spans="1:10">
      <c r="A235" s="27">
        <f>HYPERLINK("http://www.westlaw.com/Find/Default.wl?rs=dfa1.0&amp;vr=2.0&amp;FindType=Y&amp;SerialNum=2021706582",184)</f>
        <v>184</v>
      </c>
      <c r="B235" s="21" t="s">
        <v>884</v>
      </c>
      <c r="C235" s="36" t="s">
        <v>885</v>
      </c>
      <c r="D235" s="13"/>
      <c r="E235" s="13"/>
      <c r="F235" s="23" t="s">
        <v>78</v>
      </c>
      <c r="G235" s="23" t="s">
        <v>167</v>
      </c>
      <c r="H235" s="23" t="s">
        <v>47</v>
      </c>
      <c r="I235" s="23" t="s">
        <v>49</v>
      </c>
      <c r="J235" s="13"/>
    </row>
    <row r="236" spans="1:10">
      <c r="A236" s="27">
        <f>HYPERLINK("http://www.westlaw.com/Find/Default.wl?rs=dfa1.0&amp;vr=2.0&amp;DB=4637&amp;FindType=Y&amp;SerialNum=2021676450",185)</f>
        <v>185</v>
      </c>
      <c r="B236" s="21" t="s">
        <v>886</v>
      </c>
      <c r="C236" s="36" t="s">
        <v>887</v>
      </c>
      <c r="D236" s="13"/>
      <c r="E236" s="13"/>
      <c r="F236" s="23" t="s">
        <v>78</v>
      </c>
      <c r="G236" s="23" t="s">
        <v>167</v>
      </c>
      <c r="H236" s="23" t="s">
        <v>100</v>
      </c>
      <c r="I236" s="23" t="s">
        <v>49</v>
      </c>
      <c r="J236" s="13"/>
    </row>
    <row r="237" spans="1:10">
      <c r="A237" s="27">
        <f>HYPERLINK("http://www.westlaw.com/Find/Default.wl?rs=dfa1.0&amp;vr=2.0&amp;FindType=Y&amp;SerialNum=2021706146",186)</f>
        <v>186</v>
      </c>
      <c r="B237" s="21" t="s">
        <v>888</v>
      </c>
      <c r="C237" s="36" t="s">
        <v>889</v>
      </c>
      <c r="D237" s="13"/>
      <c r="E237" s="13"/>
      <c r="F237" s="23" t="s">
        <v>78</v>
      </c>
      <c r="G237" s="23" t="s">
        <v>167</v>
      </c>
      <c r="H237" s="23" t="s">
        <v>47</v>
      </c>
      <c r="I237" s="23" t="s">
        <v>49</v>
      </c>
      <c r="J237" s="13"/>
    </row>
    <row r="238" spans="1:10">
      <c r="A238" s="27">
        <f>HYPERLINK("http://www.westlaw.com/Find/Default.wl?rs=dfa1.0&amp;vr=2.0&amp;FindType=Y&amp;SerialNum=2021720382",187)</f>
        <v>187</v>
      </c>
      <c r="B238" s="21" t="s">
        <v>890</v>
      </c>
      <c r="C238" s="36" t="s">
        <v>891</v>
      </c>
      <c r="D238" s="13"/>
      <c r="E238" s="13"/>
      <c r="F238" s="23" t="s">
        <v>78</v>
      </c>
      <c r="G238" s="23" t="s">
        <v>167</v>
      </c>
      <c r="H238" s="23" t="s">
        <v>47</v>
      </c>
      <c r="I238" s="23" t="s">
        <v>49</v>
      </c>
      <c r="J238" s="13"/>
    </row>
    <row r="239" spans="1:10">
      <c r="A239" s="27">
        <f>HYPERLINK("http://www.westlaw.com/Find/Default.wl?rs=dfa1.0&amp;vr=2.0&amp;FindType=Y&amp;SerialNum=2021697248",188)</f>
        <v>188</v>
      </c>
      <c r="B239" s="21" t="s">
        <v>892</v>
      </c>
      <c r="C239" s="36" t="s">
        <v>893</v>
      </c>
      <c r="D239" s="13"/>
      <c r="E239" s="13"/>
      <c r="F239" s="23" t="s">
        <v>78</v>
      </c>
      <c r="G239" s="23" t="s">
        <v>79</v>
      </c>
      <c r="H239" s="23" t="s">
        <v>47</v>
      </c>
      <c r="I239" s="23" t="s">
        <v>49</v>
      </c>
      <c r="J239" s="13"/>
    </row>
    <row r="240" spans="1:10" ht="24">
      <c r="A240" s="27">
        <f>HYPERLINK("http://www.westlaw.com/Find/Default.wl?rs=dfa1.0&amp;vr=2.0&amp;DB=4637&amp;FindType=Y&amp;SerialNum=2021705926",189)</f>
        <v>189</v>
      </c>
      <c r="B240" s="21" t="s">
        <v>894</v>
      </c>
      <c r="C240" s="36" t="s">
        <v>895</v>
      </c>
      <c r="D240" s="13"/>
      <c r="E240" s="13"/>
      <c r="F240" s="23" t="s">
        <v>78</v>
      </c>
      <c r="G240" s="23" t="s">
        <v>79</v>
      </c>
      <c r="H240" s="23" t="s">
        <v>47</v>
      </c>
      <c r="I240" s="23" t="s">
        <v>49</v>
      </c>
      <c r="J240" s="13"/>
    </row>
    <row r="241" spans="1:10">
      <c r="A241" s="27">
        <f>HYPERLINK("http://www.westlaw.com/Find/Default.wl?rs=dfa1.0&amp;vr=2.0&amp;FindType=Y&amp;SerialNum=2021676874",191)</f>
        <v>191</v>
      </c>
      <c r="B241" s="21" t="s">
        <v>896</v>
      </c>
      <c r="C241" s="36" t="s">
        <v>897</v>
      </c>
      <c r="D241" s="13"/>
      <c r="E241" s="13"/>
      <c r="F241" s="23" t="s">
        <v>78</v>
      </c>
      <c r="G241" s="23" t="s">
        <v>167</v>
      </c>
      <c r="H241" s="23" t="s">
        <v>47</v>
      </c>
      <c r="I241" s="23" t="s">
        <v>49</v>
      </c>
      <c r="J241" s="13"/>
    </row>
    <row r="242" spans="1:10">
      <c r="A242" s="27">
        <f>HYPERLINK("http://www.westlaw.com/Find/Default.wl?rs=dfa1.0&amp;vr=2.0&amp;FindType=Y&amp;SerialNum=2021628811",192)</f>
        <v>192</v>
      </c>
      <c r="B242" s="21" t="s">
        <v>898</v>
      </c>
      <c r="C242" s="36" t="s">
        <v>899</v>
      </c>
      <c r="D242" s="23"/>
      <c r="E242" s="23"/>
      <c r="F242" s="23" t="s">
        <v>78</v>
      </c>
      <c r="G242" s="23" t="s">
        <v>167</v>
      </c>
      <c r="H242" s="23" t="s">
        <v>100</v>
      </c>
      <c r="I242" s="23" t="s">
        <v>49</v>
      </c>
      <c r="J242" s="23"/>
    </row>
    <row r="243" spans="1:10">
      <c r="A243" s="27">
        <f>HYPERLINK("http://www.westlaw.com/Find/Default.wl?rs=dfa1.0&amp;vr=2.0&amp;DB=4637&amp;FindType=Y&amp;SerialNum=2021600116",193)</f>
        <v>193</v>
      </c>
      <c r="B243" s="21" t="s">
        <v>900</v>
      </c>
      <c r="C243" s="36" t="s">
        <v>901</v>
      </c>
      <c r="D243" s="23"/>
      <c r="E243" s="23"/>
      <c r="F243" s="23" t="s">
        <v>78</v>
      </c>
      <c r="G243" s="23" t="s">
        <v>167</v>
      </c>
      <c r="H243" s="23" t="s">
        <v>902</v>
      </c>
      <c r="I243" s="23" t="s">
        <v>49</v>
      </c>
      <c r="J243" s="23"/>
    </row>
    <row r="244" spans="1:10">
      <c r="A244" s="27">
        <f>HYPERLINK("http://www.westlaw.com/Find/Default.wl?rs=dfa1.0&amp;vr=2.0&amp;FindType=Y&amp;SerialNum=2021979898",194)</f>
        <v>194</v>
      </c>
      <c r="B244" s="21" t="s">
        <v>903</v>
      </c>
      <c r="C244" s="36" t="s">
        <v>904</v>
      </c>
      <c r="D244" s="23"/>
      <c r="E244" s="23"/>
      <c r="F244" s="23" t="s">
        <v>78</v>
      </c>
      <c r="G244" s="23" t="s">
        <v>79</v>
      </c>
      <c r="H244" s="23" t="s">
        <v>47</v>
      </c>
      <c r="I244" s="23" t="s">
        <v>49</v>
      </c>
      <c r="J244" s="23"/>
    </row>
    <row r="245" spans="1:10" ht="24">
      <c r="A245" s="27">
        <f>HYPERLINK("http://www.westlaw.com/Find/Default.wl?rs=dfa1.0&amp;vr=2.0&amp;DB=4637&amp;FindType=Y&amp;SerialNum=2021566189",195)</f>
        <v>195</v>
      </c>
      <c r="B245" s="21" t="s">
        <v>905</v>
      </c>
      <c r="C245" s="36" t="s">
        <v>906</v>
      </c>
      <c r="D245" s="13"/>
      <c r="E245" s="13"/>
      <c r="F245" s="23" t="s">
        <v>78</v>
      </c>
      <c r="G245" s="23" t="s">
        <v>79</v>
      </c>
      <c r="H245" s="23" t="s">
        <v>47</v>
      </c>
      <c r="I245" s="23" t="s">
        <v>49</v>
      </c>
      <c r="J245" s="13"/>
    </row>
    <row r="246" spans="1:10">
      <c r="A246" s="27">
        <f>HYPERLINK("http://www.westlaw.com/Find/Default.wl?rs=dfa1.0&amp;vr=2.0&amp;FindType=Y&amp;SerialNum=2021515378",196)</f>
        <v>196</v>
      </c>
      <c r="B246" s="21" t="s">
        <v>907</v>
      </c>
      <c r="C246" s="36" t="s">
        <v>908</v>
      </c>
      <c r="D246" s="13"/>
      <c r="E246" s="13"/>
      <c r="F246" s="23" t="s">
        <v>78</v>
      </c>
      <c r="G246" s="23" t="s">
        <v>79</v>
      </c>
      <c r="H246" s="23" t="s">
        <v>47</v>
      </c>
      <c r="I246" s="23" t="s">
        <v>49</v>
      </c>
      <c r="J246" s="13"/>
    </row>
    <row r="247" spans="1:10">
      <c r="A247" s="27">
        <f>HYPERLINK("http://www.westlaw.com/Find/Default.wl?rs=dfa1.0&amp;vr=2.0&amp;FindType=Y&amp;SerialNum=2023144996",197)</f>
        <v>197</v>
      </c>
      <c r="B247" s="21" t="s">
        <v>909</v>
      </c>
      <c r="C247" s="36" t="s">
        <v>910</v>
      </c>
      <c r="D247" s="13"/>
      <c r="E247" s="13"/>
      <c r="F247" s="23" t="s">
        <v>78</v>
      </c>
      <c r="G247" s="23" t="s">
        <v>167</v>
      </c>
      <c r="H247" s="23" t="s">
        <v>47</v>
      </c>
      <c r="I247" s="23" t="s">
        <v>49</v>
      </c>
      <c r="J247" s="13"/>
    </row>
    <row r="248" spans="1:10">
      <c r="A248" s="27">
        <f>HYPERLINK("http://www.westlaw.com/Find/Default.wl?rs=dfa1.0&amp;vr=2.0&amp;FindType=Y&amp;SerialNum=2022192054",198)</f>
        <v>198</v>
      </c>
      <c r="B248" s="21" t="s">
        <v>911</v>
      </c>
      <c r="C248" s="36" t="s">
        <v>912</v>
      </c>
      <c r="D248" s="13"/>
      <c r="E248" s="13"/>
      <c r="F248" s="23" t="s">
        <v>78</v>
      </c>
      <c r="G248" s="23" t="s">
        <v>167</v>
      </c>
      <c r="H248" s="23" t="s">
        <v>47</v>
      </c>
      <c r="I248" s="23" t="s">
        <v>49</v>
      </c>
      <c r="J248" s="13"/>
    </row>
    <row r="249" spans="1:10">
      <c r="A249" s="27">
        <f>HYPERLINK("http://www.westlaw.com/Find/Default.wl?rs=dfa1.0&amp;vr=2.0&amp;FindType=Y&amp;SerialNum=2021516960",200)</f>
        <v>200</v>
      </c>
      <c r="B249" s="21" t="s">
        <v>913</v>
      </c>
      <c r="C249" s="36" t="s">
        <v>914</v>
      </c>
      <c r="D249" s="23"/>
      <c r="E249" s="23"/>
      <c r="F249" s="23" t="s">
        <v>78</v>
      </c>
      <c r="G249" s="23" t="s">
        <v>167</v>
      </c>
      <c r="H249" s="23" t="s">
        <v>100</v>
      </c>
      <c r="I249" s="23" t="s">
        <v>49</v>
      </c>
      <c r="J249" s="23"/>
    </row>
    <row r="250" spans="1:10">
      <c r="A250" s="27">
        <f>HYPERLINK("http://www.westlaw.com/Find/Default.wl?rs=dfa1.0&amp;vr=2.0&amp;FindType=Y&amp;SerialNum=2021517083",201)</f>
        <v>201</v>
      </c>
      <c r="B250" s="21" t="s">
        <v>915</v>
      </c>
      <c r="C250" s="36" t="s">
        <v>916</v>
      </c>
      <c r="D250" s="23"/>
      <c r="E250" s="23"/>
      <c r="F250" s="23" t="s">
        <v>78</v>
      </c>
      <c r="G250" s="23" t="s">
        <v>167</v>
      </c>
      <c r="H250" s="23" t="s">
        <v>100</v>
      </c>
      <c r="I250" s="23" t="s">
        <v>49</v>
      </c>
      <c r="J250" s="23"/>
    </row>
    <row r="251" spans="1:10">
      <c r="A251" s="27">
        <f>HYPERLINK("http://www.westlaw.com/Find/Default.wl?rs=dfa1.0&amp;vr=2.0&amp;FindType=Y&amp;SerialNum=2021481379",202)</f>
        <v>202</v>
      </c>
      <c r="B251" s="21" t="s">
        <v>917</v>
      </c>
      <c r="C251" s="36" t="s">
        <v>918</v>
      </c>
      <c r="D251" s="23"/>
      <c r="E251" s="23"/>
      <c r="F251" s="23" t="s">
        <v>78</v>
      </c>
      <c r="G251" s="23" t="s">
        <v>167</v>
      </c>
      <c r="H251" s="23" t="s">
        <v>47</v>
      </c>
      <c r="I251" s="23" t="s">
        <v>49</v>
      </c>
      <c r="J251" s="23"/>
    </row>
    <row r="252" spans="1:10">
      <c r="A252" s="27">
        <f>HYPERLINK("http://www.westlaw.com/Find/Default.wl?rs=dfa1.0&amp;vr=2.0&amp;FindType=Y&amp;SerialNum=2021684299",203)</f>
        <v>203</v>
      </c>
      <c r="B252" s="21" t="s">
        <v>919</v>
      </c>
      <c r="C252" s="36" t="s">
        <v>920</v>
      </c>
      <c r="D252" s="13"/>
      <c r="E252" s="13"/>
      <c r="F252" s="23" t="s">
        <v>78</v>
      </c>
      <c r="G252" s="23" t="s">
        <v>167</v>
      </c>
      <c r="H252" s="23" t="s">
        <v>47</v>
      </c>
      <c r="I252" s="23" t="s">
        <v>49</v>
      </c>
      <c r="J252" s="13"/>
    </row>
    <row r="253" spans="1:10">
      <c r="A253" s="27">
        <f>HYPERLINK("http://www.westlaw.com/Find/Default.wl?rs=dfa1.0&amp;vr=2.0&amp;DB=4637&amp;FindType=Y&amp;SerialNum=2021466424",204)</f>
        <v>204</v>
      </c>
      <c r="B253" s="21" t="s">
        <v>921</v>
      </c>
      <c r="C253" s="36" t="s">
        <v>922</v>
      </c>
      <c r="D253" s="13"/>
      <c r="E253" s="13"/>
      <c r="F253" s="23" t="s">
        <v>78</v>
      </c>
      <c r="G253" s="23" t="s">
        <v>79</v>
      </c>
      <c r="H253" s="23" t="s">
        <v>47</v>
      </c>
      <c r="I253" s="23" t="s">
        <v>49</v>
      </c>
      <c r="J253" s="13"/>
    </row>
    <row r="254" spans="1:10">
      <c r="A254" s="27">
        <f>HYPERLINK("http://www.westlaw.com/Find/Default.wl?rs=dfa1.0&amp;vr=2.0&amp;DB=4637&amp;FindType=Y&amp;SerialNum=2021391766",205)</f>
        <v>205</v>
      </c>
      <c r="B254" s="21" t="s">
        <v>923</v>
      </c>
      <c r="C254" s="36" t="s">
        <v>924</v>
      </c>
      <c r="D254" s="13"/>
      <c r="E254" s="13"/>
      <c r="F254" s="23" t="s">
        <v>78</v>
      </c>
      <c r="G254" s="23" t="s">
        <v>79</v>
      </c>
      <c r="H254" s="23" t="s">
        <v>47</v>
      </c>
      <c r="I254" s="23" t="s">
        <v>49</v>
      </c>
      <c r="J254" s="13"/>
    </row>
    <row r="255" spans="1:10">
      <c r="A255" s="27">
        <f>HYPERLINK("http://www.westlaw.com/Find/Default.wl?rs=dfa1.0&amp;vr=2.0&amp;FindType=Y&amp;SerialNum=2021372991",206)</f>
        <v>206</v>
      </c>
      <c r="B255" s="21" t="s">
        <v>925</v>
      </c>
      <c r="C255" s="36" t="s">
        <v>926</v>
      </c>
      <c r="D255" s="13"/>
      <c r="E255" s="13"/>
      <c r="F255" s="23" t="s">
        <v>78</v>
      </c>
      <c r="G255" s="23" t="s">
        <v>79</v>
      </c>
      <c r="H255" s="23" t="s">
        <v>100</v>
      </c>
      <c r="I255" s="23" t="s">
        <v>49</v>
      </c>
      <c r="J255" s="13"/>
    </row>
    <row r="256" spans="1:10" ht="24">
      <c r="A256" s="27">
        <f>HYPERLINK("http://www.westlaw.com/Find/Default.wl?rs=dfa1.0&amp;vr=2.0&amp;FindType=Y&amp;SerialNum=2021392813",207)</f>
        <v>207</v>
      </c>
      <c r="B256" s="21" t="s">
        <v>927</v>
      </c>
      <c r="C256" s="36" t="s">
        <v>928</v>
      </c>
      <c r="D256" s="13"/>
      <c r="E256" s="13"/>
      <c r="F256" s="23" t="s">
        <v>78</v>
      </c>
      <c r="G256" s="23" t="s">
        <v>79</v>
      </c>
      <c r="H256" s="23" t="s">
        <v>100</v>
      </c>
      <c r="I256" s="23" t="s">
        <v>49</v>
      </c>
      <c r="J256" s="13"/>
    </row>
    <row r="257" spans="1:10">
      <c r="A257" s="27">
        <f>HYPERLINK("http://www.westlaw.com/Find/Default.wl?rs=dfa1.0&amp;vr=2.0&amp;FindType=Y&amp;SerialNum=2021331197",210)</f>
        <v>210</v>
      </c>
      <c r="B257" s="21" t="s">
        <v>929</v>
      </c>
      <c r="C257" s="36" t="s">
        <v>930</v>
      </c>
      <c r="D257" s="13"/>
      <c r="E257" s="13"/>
      <c r="F257" s="23" t="s">
        <v>78</v>
      </c>
      <c r="G257" s="23" t="s">
        <v>167</v>
      </c>
      <c r="H257" s="23" t="s">
        <v>47</v>
      </c>
      <c r="I257" s="23" t="s">
        <v>49</v>
      </c>
      <c r="J257" s="13"/>
    </row>
    <row r="258" spans="1:10">
      <c r="A258" s="27">
        <f>HYPERLINK("http://www.westlaw.com/Find/Default.wl?rs=dfa1.0&amp;vr=2.0&amp;FindType=Y&amp;SerialNum=2021280952",212)</f>
        <v>212</v>
      </c>
      <c r="B258" s="21" t="s">
        <v>931</v>
      </c>
      <c r="C258" s="36" t="s">
        <v>932</v>
      </c>
      <c r="D258" s="13"/>
      <c r="E258" s="13"/>
      <c r="F258" s="23" t="s">
        <v>78</v>
      </c>
      <c r="G258" s="23" t="s">
        <v>167</v>
      </c>
      <c r="H258" s="23" t="s">
        <v>47</v>
      </c>
      <c r="I258" s="23" t="s">
        <v>49</v>
      </c>
      <c r="J258" s="13"/>
    </row>
    <row r="259" spans="1:10">
      <c r="A259" s="27">
        <f>HYPERLINK("http://www.westlaw.com/Find/Default.wl?rs=dfa1.0&amp;vr=2.0&amp;FindType=Y&amp;SerialNum=2021239271",213)</f>
        <v>213</v>
      </c>
      <c r="B259" s="21" t="s">
        <v>933</v>
      </c>
      <c r="C259" s="36" t="s">
        <v>934</v>
      </c>
      <c r="D259" s="13"/>
      <c r="E259" s="13"/>
      <c r="F259" s="23" t="s">
        <v>78</v>
      </c>
      <c r="G259" s="23" t="s">
        <v>167</v>
      </c>
      <c r="H259" s="23" t="s">
        <v>47</v>
      </c>
      <c r="I259" s="23" t="s">
        <v>49</v>
      </c>
      <c r="J259" s="13"/>
    </row>
    <row r="260" spans="1:10">
      <c r="A260" s="27">
        <f>HYPERLINK("http://www.westlaw.com/Find/Default.wl?rs=dfa1.0&amp;vr=2.0&amp;DB=4637&amp;FindType=Y&amp;SerialNum=2021236119",215)</f>
        <v>215</v>
      </c>
      <c r="B260" s="21" t="s">
        <v>935</v>
      </c>
      <c r="C260" s="36" t="s">
        <v>936</v>
      </c>
      <c r="D260" s="13"/>
      <c r="E260" s="13"/>
      <c r="F260" s="23" t="s">
        <v>78</v>
      </c>
      <c r="G260" s="23" t="s">
        <v>167</v>
      </c>
      <c r="H260" s="23" t="s">
        <v>47</v>
      </c>
      <c r="I260" s="23" t="s">
        <v>49</v>
      </c>
      <c r="J260" s="13"/>
    </row>
    <row r="261" spans="1:10">
      <c r="A261" s="27">
        <f>HYPERLINK("http://www.westlaw.com/Find/Default.wl?rs=dfa1.0&amp;vr=2.0&amp;FindType=Y&amp;SerialNum=2021239711",216)</f>
        <v>216</v>
      </c>
      <c r="B261" s="21" t="s">
        <v>937</v>
      </c>
      <c r="C261" s="36" t="s">
        <v>938</v>
      </c>
      <c r="D261" s="13"/>
      <c r="E261" s="13"/>
      <c r="F261" s="23" t="s">
        <v>78</v>
      </c>
      <c r="G261" s="23" t="s">
        <v>79</v>
      </c>
      <c r="H261" s="23" t="s">
        <v>47</v>
      </c>
      <c r="I261" s="23" t="s">
        <v>49</v>
      </c>
      <c r="J261" s="13"/>
    </row>
    <row r="262" spans="1:10">
      <c r="A262" s="27">
        <f>HYPERLINK("http://www.westlaw.com/Find/Default.wl?rs=dfa1.0&amp;vr=2.0&amp;FindType=Y&amp;SerialNum=2021310793",217)</f>
        <v>217</v>
      </c>
      <c r="B262" s="21" t="s">
        <v>939</v>
      </c>
      <c r="C262" s="36" t="s">
        <v>940</v>
      </c>
      <c r="D262" s="13"/>
      <c r="E262" s="13"/>
      <c r="F262" s="23" t="s">
        <v>78</v>
      </c>
      <c r="G262" s="23" t="s">
        <v>167</v>
      </c>
      <c r="H262" s="23" t="s">
        <v>47</v>
      </c>
      <c r="I262" s="23" t="s">
        <v>49</v>
      </c>
      <c r="J262" s="23"/>
    </row>
    <row r="263" spans="1:10">
      <c r="A263" s="27">
        <f>HYPERLINK("http://www.westlaw.com/Find/Default.wl?rs=dfa1.0&amp;vr=2.0&amp;DB=4637&amp;FindType=Y&amp;SerialNum=2021099367",218)</f>
        <v>218</v>
      </c>
      <c r="B263" s="21" t="s">
        <v>941</v>
      </c>
      <c r="C263" s="36" t="s">
        <v>942</v>
      </c>
      <c r="D263" s="13"/>
      <c r="E263" s="13"/>
      <c r="F263" s="23" t="s">
        <v>78</v>
      </c>
      <c r="G263" s="23" t="s">
        <v>79</v>
      </c>
      <c r="H263" s="23" t="s">
        <v>79</v>
      </c>
      <c r="I263" s="23" t="s">
        <v>49</v>
      </c>
      <c r="J263" s="13"/>
    </row>
    <row r="264" spans="1:10">
      <c r="A264" s="27">
        <f>HYPERLINK("http://www.westlaw.com/Find/Default.wl?rs=dfa1.0&amp;vr=2.0&amp;FindType=Y&amp;SerialNum=2021074453",219)</f>
        <v>219</v>
      </c>
      <c r="B264" s="21" t="s">
        <v>521</v>
      </c>
      <c r="C264" s="36" t="s">
        <v>943</v>
      </c>
      <c r="D264" s="13"/>
      <c r="E264" s="13"/>
      <c r="F264" s="23" t="s">
        <v>78</v>
      </c>
      <c r="G264" s="23" t="s">
        <v>167</v>
      </c>
      <c r="H264" s="23" t="s">
        <v>100</v>
      </c>
      <c r="I264" s="23" t="s">
        <v>49</v>
      </c>
      <c r="J264" s="13"/>
    </row>
    <row r="265" spans="1:10">
      <c r="A265" s="27">
        <f>HYPERLINK("http://www.westlaw.com/Find/Default.wl?rs=dfa1.0&amp;vr=2.0&amp;DB=4637&amp;FindType=Y&amp;SerialNum=2020963860",220)</f>
        <v>220</v>
      </c>
      <c r="B265" s="21" t="s">
        <v>944</v>
      </c>
      <c r="C265" s="36" t="s">
        <v>945</v>
      </c>
      <c r="D265" s="13"/>
      <c r="E265" s="13"/>
      <c r="F265" s="23" t="s">
        <v>78</v>
      </c>
      <c r="G265" s="23" t="s">
        <v>79</v>
      </c>
      <c r="H265" s="23" t="s">
        <v>100</v>
      </c>
      <c r="I265" s="23" t="s">
        <v>49</v>
      </c>
      <c r="J265" s="13"/>
    </row>
    <row r="266" spans="1:10">
      <c r="A266" s="27">
        <f>HYPERLINK("http://www.westlaw.com/Find/Default.wl?rs=dfa1.0&amp;vr=2.0&amp;DB=4637&amp;FindType=Y&amp;SerialNum=2020992706",221)</f>
        <v>221</v>
      </c>
      <c r="B266" s="21" t="s">
        <v>946</v>
      </c>
      <c r="C266" s="36" t="s">
        <v>947</v>
      </c>
      <c r="D266" s="13"/>
      <c r="E266" s="13"/>
      <c r="F266" s="23" t="s">
        <v>78</v>
      </c>
      <c r="G266" s="23" t="s">
        <v>79</v>
      </c>
      <c r="H266" s="23" t="s">
        <v>47</v>
      </c>
      <c r="I266" s="23" t="s">
        <v>49</v>
      </c>
      <c r="J266" s="13"/>
    </row>
    <row r="267" spans="1:10">
      <c r="A267" s="27">
        <f>HYPERLINK("http://www.westlaw.com/Find/Default.wl?rs=dfa1.0&amp;vr=2.0&amp;FindType=Y&amp;SerialNum=2020771020",222)</f>
        <v>222</v>
      </c>
      <c r="B267" s="21" t="s">
        <v>948</v>
      </c>
      <c r="C267" s="36" t="s">
        <v>949</v>
      </c>
      <c r="D267" s="13"/>
      <c r="E267" s="13"/>
      <c r="F267" s="23" t="s">
        <v>78</v>
      </c>
      <c r="G267" s="23" t="s">
        <v>167</v>
      </c>
      <c r="H267" s="23" t="s">
        <v>100</v>
      </c>
      <c r="I267" s="23" t="s">
        <v>49</v>
      </c>
      <c r="J267" s="13"/>
    </row>
    <row r="268" spans="1:10">
      <c r="A268" s="27">
        <f>HYPERLINK("http://www.westlaw.com/Find/Default.wl?rs=dfa1.0&amp;vr=2.0&amp;FindType=Y&amp;SerialNum=2020744209",223)</f>
        <v>223</v>
      </c>
      <c r="B268" s="21" t="s">
        <v>738</v>
      </c>
      <c r="C268" s="36" t="s">
        <v>950</v>
      </c>
      <c r="D268" s="13"/>
      <c r="E268" s="13"/>
      <c r="F268" s="23" t="s">
        <v>78</v>
      </c>
      <c r="G268" s="23" t="s">
        <v>167</v>
      </c>
      <c r="H268" s="23" t="s">
        <v>79</v>
      </c>
      <c r="I268" s="23" t="s">
        <v>49</v>
      </c>
      <c r="J268" s="13"/>
    </row>
    <row r="269" spans="1:10" ht="24">
      <c r="A269" s="27">
        <f>HYPERLINK("http://www.westlaw.com/Find/Default.wl?rs=dfa1.0&amp;vr=2.0&amp;DB=4637&amp;FindType=Y&amp;SerialNum=2020588729",224)</f>
        <v>224</v>
      </c>
      <c r="B269" s="21" t="s">
        <v>951</v>
      </c>
      <c r="C269" s="36" t="s">
        <v>952</v>
      </c>
      <c r="D269" s="13"/>
      <c r="E269" s="13"/>
      <c r="F269" s="23" t="s">
        <v>78</v>
      </c>
      <c r="G269" s="23" t="s">
        <v>79</v>
      </c>
      <c r="H269" s="23" t="s">
        <v>47</v>
      </c>
      <c r="I269" s="23" t="s">
        <v>49</v>
      </c>
      <c r="J269" s="13"/>
    </row>
    <row r="270" spans="1:10">
      <c r="A270" s="27">
        <f>HYPERLINK("http://www.westlaw.com/Find/Default.wl?rs=dfa1.0&amp;vr=2.0&amp;DB=26&amp;FindType=Y&amp;SerialNum=2020486835",225)</f>
        <v>225</v>
      </c>
      <c r="B270" s="21" t="s">
        <v>953</v>
      </c>
      <c r="C270" s="36" t="s">
        <v>954</v>
      </c>
      <c r="D270" s="13"/>
      <c r="E270" s="13"/>
      <c r="F270" s="23" t="s">
        <v>78</v>
      </c>
      <c r="G270" s="23" t="s">
        <v>79</v>
      </c>
      <c r="H270" s="23" t="s">
        <v>79</v>
      </c>
      <c r="I270" s="23" t="s">
        <v>49</v>
      </c>
      <c r="J270" s="13"/>
    </row>
    <row r="271" spans="1:10">
      <c r="A271" s="27">
        <f>HYPERLINK("http://www.westlaw.com/Find/Default.wl?rs=dfa1.0&amp;vr=2.0&amp;FindType=Y&amp;SerialNum=2020554461",226)</f>
        <v>226</v>
      </c>
      <c r="B271" s="21" t="s">
        <v>955</v>
      </c>
      <c r="C271" s="36" t="s">
        <v>956</v>
      </c>
      <c r="D271" s="13"/>
      <c r="E271" s="13"/>
      <c r="F271" s="23" t="s">
        <v>78</v>
      </c>
      <c r="G271" s="23" t="s">
        <v>79</v>
      </c>
      <c r="H271" s="23" t="s">
        <v>47</v>
      </c>
      <c r="I271" s="23" t="s">
        <v>49</v>
      </c>
      <c r="J271" s="13"/>
    </row>
    <row r="272" spans="1:10" ht="24">
      <c r="A272" s="27">
        <f>HYPERLINK("http://www.westlaw.com/Find/Default.wl?rs=dfa1.0&amp;vr=2.0&amp;FindType=Y&amp;SerialNum=2020901809",227)</f>
        <v>227</v>
      </c>
      <c r="B272" s="21" t="s">
        <v>957</v>
      </c>
      <c r="C272" s="36" t="s">
        <v>958</v>
      </c>
      <c r="D272" s="13"/>
      <c r="E272" s="13"/>
      <c r="F272" s="23" t="s">
        <v>78</v>
      </c>
      <c r="G272" s="23" t="s">
        <v>167</v>
      </c>
      <c r="H272" s="23" t="s">
        <v>79</v>
      </c>
      <c r="I272" s="23" t="s">
        <v>49</v>
      </c>
      <c r="J272" s="13"/>
    </row>
    <row r="273" spans="1:10">
      <c r="A273" s="27">
        <f>HYPERLINK("http://www.westlaw.com/Find/Default.wl?rs=dfa1.0&amp;vr=2.0&amp;DB=4637&amp;FindType=Y&amp;SerialNum=2020243095",228)</f>
        <v>228</v>
      </c>
      <c r="B273" s="21" t="s">
        <v>959</v>
      </c>
      <c r="C273" s="36" t="s">
        <v>960</v>
      </c>
      <c r="D273" s="13"/>
      <c r="E273" s="13"/>
      <c r="F273" s="23" t="s">
        <v>78</v>
      </c>
      <c r="G273" s="23" t="s">
        <v>167</v>
      </c>
      <c r="H273" s="23" t="s">
        <v>79</v>
      </c>
      <c r="I273" s="23" t="s">
        <v>49</v>
      </c>
      <c r="J273" s="13"/>
    </row>
    <row r="274" spans="1:10">
      <c r="A274" s="27">
        <f>HYPERLINK("http://www.westlaw.com/Find/Default.wl?rs=dfa1.0&amp;vr=2.0&amp;FindType=Y&amp;SerialNum=2020271140",229)</f>
        <v>229</v>
      </c>
      <c r="B274" s="21" t="s">
        <v>961</v>
      </c>
      <c r="C274" s="36" t="s">
        <v>962</v>
      </c>
      <c r="D274" s="13"/>
      <c r="E274" s="13"/>
      <c r="F274" s="23" t="s">
        <v>78</v>
      </c>
      <c r="G274" s="23" t="s">
        <v>167</v>
      </c>
      <c r="H274" s="23" t="s">
        <v>79</v>
      </c>
      <c r="I274" s="23" t="s">
        <v>49</v>
      </c>
      <c r="J274" s="13"/>
    </row>
    <row r="275" spans="1:10">
      <c r="A275" s="27">
        <f>HYPERLINK("http://www.westlaw.com/Find/Default.wl?rs=dfa1.0&amp;vr=2.0&amp;DB=463&amp;FindType=Y&amp;SerialNum=2020086062",230)</f>
        <v>230</v>
      </c>
      <c r="B275" s="21" t="s">
        <v>963</v>
      </c>
      <c r="C275" s="36" t="s">
        <v>964</v>
      </c>
      <c r="D275" s="13"/>
      <c r="E275" s="13"/>
      <c r="F275" s="23" t="s">
        <v>78</v>
      </c>
      <c r="G275" s="23" t="s">
        <v>79</v>
      </c>
      <c r="H275" s="23" t="s">
        <v>79</v>
      </c>
      <c r="I275" s="23" t="s">
        <v>49</v>
      </c>
      <c r="J275" s="13"/>
    </row>
    <row r="276" spans="1:10">
      <c r="A276" s="27">
        <f>HYPERLINK("http://www.westlaw.com/Find/Default.wl?rs=dfa1.0&amp;vr=2.0&amp;FindType=Y&amp;SerialNum=2020067349",231)</f>
        <v>231</v>
      </c>
      <c r="B276" s="21" t="s">
        <v>965</v>
      </c>
      <c r="C276" s="36" t="s">
        <v>966</v>
      </c>
      <c r="D276" s="13"/>
      <c r="E276" s="13"/>
      <c r="F276" s="23" t="s">
        <v>78</v>
      </c>
      <c r="G276" s="23" t="s">
        <v>79</v>
      </c>
      <c r="H276" s="23" t="s">
        <v>47</v>
      </c>
      <c r="I276" s="23" t="s">
        <v>49</v>
      </c>
      <c r="J276" s="13"/>
    </row>
    <row r="277" spans="1:10">
      <c r="A277" s="27">
        <f>HYPERLINK("http://www.westlaw.com/Find/Default.wl?rs=dfa1.0&amp;vr=2.0&amp;DB=4637&amp;FindType=Y&amp;SerialNum=2020476431",232)</f>
        <v>232</v>
      </c>
      <c r="B277" s="21" t="s">
        <v>967</v>
      </c>
      <c r="C277" s="36" t="s">
        <v>968</v>
      </c>
      <c r="D277" s="13"/>
      <c r="E277" s="13"/>
      <c r="F277" s="23" t="s">
        <v>78</v>
      </c>
      <c r="G277" s="23" t="s">
        <v>79</v>
      </c>
      <c r="H277" s="23" t="s">
        <v>47</v>
      </c>
      <c r="I277" s="23" t="s">
        <v>49</v>
      </c>
      <c r="J277" s="13"/>
    </row>
    <row r="278" spans="1:10">
      <c r="A278" s="27">
        <f>HYPERLINK("http://www.westlaw.com/Find/Default.wl?rs=dfa1.0&amp;vr=2.0&amp;DB=4637&amp;FindType=Y&amp;SerialNum=2019957915",233)</f>
        <v>233</v>
      </c>
      <c r="B278" s="21" t="s">
        <v>969</v>
      </c>
      <c r="C278" s="36" t="s">
        <v>970</v>
      </c>
      <c r="D278" s="13"/>
      <c r="E278" s="13"/>
      <c r="F278" s="23" t="s">
        <v>78</v>
      </c>
      <c r="G278" s="23" t="s">
        <v>79</v>
      </c>
      <c r="H278" s="23" t="s">
        <v>80</v>
      </c>
      <c r="I278" s="23" t="s">
        <v>49</v>
      </c>
      <c r="J278" s="13"/>
    </row>
    <row r="279" spans="1:10">
      <c r="A279" s="27">
        <f>HYPERLINK("http://www.westlaw.com/Find/Default.wl?rs=dfa1.0&amp;vr=2.0&amp;DB=509&amp;FindType=Y&amp;SerialNum=2024535192",234)</f>
        <v>234</v>
      </c>
      <c r="B279" s="21" t="s">
        <v>971</v>
      </c>
      <c r="C279" s="36" t="s">
        <v>972</v>
      </c>
      <c r="D279" s="13"/>
      <c r="E279" s="13"/>
      <c r="F279" s="23" t="s">
        <v>78</v>
      </c>
      <c r="G279" s="23" t="s">
        <v>167</v>
      </c>
      <c r="H279" s="23" t="s">
        <v>79</v>
      </c>
      <c r="I279" s="23" t="s">
        <v>49</v>
      </c>
      <c r="J279" s="13"/>
    </row>
    <row r="280" spans="1:10">
      <c r="A280" s="27">
        <f>HYPERLINK("http://www.westlaw.com/Find/Default.wl?rs=dfa1.0&amp;vr=2.0&amp;DB=1415&amp;FindType=Y&amp;SerialNum=2022494862",235)</f>
        <v>235</v>
      </c>
      <c r="B280" s="21" t="s">
        <v>973</v>
      </c>
      <c r="C280" s="36" t="s">
        <v>974</v>
      </c>
      <c r="D280" s="13"/>
      <c r="E280" s="13"/>
      <c r="F280" s="23" t="s">
        <v>78</v>
      </c>
      <c r="G280" s="23" t="s">
        <v>79</v>
      </c>
      <c r="H280" s="23" t="s">
        <v>47</v>
      </c>
      <c r="I280" s="23" t="s">
        <v>49</v>
      </c>
      <c r="J280" s="13"/>
    </row>
    <row r="281" spans="1:10">
      <c r="A281" s="27">
        <f>HYPERLINK("http://www.westlaw.com/Find/Default.wl?rs=dfa1.0&amp;vr=2.0&amp;DB=506&amp;FindType=Y&amp;SerialNum=2022693306",60)</f>
        <v>60</v>
      </c>
      <c r="B281" s="21" t="s">
        <v>975</v>
      </c>
      <c r="C281" s="36" t="s">
        <v>976</v>
      </c>
      <c r="D281" s="13"/>
      <c r="E281" s="13"/>
      <c r="F281" s="23" t="s">
        <v>167</v>
      </c>
      <c r="G281" s="23" t="s">
        <v>167</v>
      </c>
      <c r="H281" s="23" t="s">
        <v>79</v>
      </c>
      <c r="I281" s="23" t="s">
        <v>49</v>
      </c>
      <c r="J281" s="13"/>
    </row>
    <row r="282" spans="1:10">
      <c r="E282" s="42" t="s">
        <v>95</v>
      </c>
      <c r="F282" s="42">
        <f>COUNTA(F109:F281)</f>
        <v>173</v>
      </c>
    </row>
    <row r="285" spans="1:10" ht="28">
      <c r="A285" s="132">
        <v>40259</v>
      </c>
      <c r="B285" s="133" t="s">
        <v>6451</v>
      </c>
      <c r="C285" s="134" t="s">
        <v>6452</v>
      </c>
      <c r="D285" s="133" t="s">
        <v>3560</v>
      </c>
      <c r="E285" s="133" t="s">
        <v>6453</v>
      </c>
    </row>
  </sheetData>
  <hyperlinks>
    <hyperlink ref="C285" r:id="rId1" display="http://www.supremecourt.gov/opinions/09pdf/09-671.pdf"/>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2"/>
  <sheetViews>
    <sheetView zoomScale="55" zoomScaleNormal="55" zoomScalePageLayoutView="55" workbookViewId="0"/>
  </sheetViews>
  <sheetFormatPr baseColWidth="10" defaultColWidth="8.83203125" defaultRowHeight="14" x14ac:dyDescent="0"/>
  <cols>
    <col min="1" max="1" width="13" customWidth="1"/>
    <col min="2" max="2" width="27.1640625" customWidth="1"/>
    <col min="3" max="3" width="13" customWidth="1"/>
    <col min="4" max="4" width="15" customWidth="1"/>
    <col min="5" max="5" width="13.5" customWidth="1"/>
    <col min="6" max="6" width="21" customWidth="1"/>
    <col min="7" max="7" width="6.33203125" bestFit="1" customWidth="1"/>
    <col min="8" max="8" width="13" bestFit="1" customWidth="1"/>
    <col min="9" max="9" width="9" customWidth="1"/>
    <col min="10" max="10" width="10" customWidth="1"/>
    <col min="11" max="11" width="45" customWidth="1"/>
    <col min="12" max="12" width="13" customWidth="1"/>
    <col min="13" max="14" width="10" customWidth="1"/>
    <col min="15" max="15" width="14" customWidth="1"/>
    <col min="16" max="16" width="12" customWidth="1"/>
    <col min="17" max="17" width="45" customWidth="1"/>
    <col min="18" max="18" width="32" customWidth="1"/>
    <col min="19" max="19" width="10" customWidth="1"/>
    <col min="20" max="20" width="14" customWidth="1"/>
  </cols>
  <sheetData>
    <row r="1" spans="1:21" ht="73">
      <c r="A1" s="3" t="s">
        <v>5</v>
      </c>
      <c r="B1" s="3" t="s">
        <v>977</v>
      </c>
      <c r="C1" s="3" t="s">
        <v>7</v>
      </c>
      <c r="D1" s="3" t="s">
        <v>8</v>
      </c>
      <c r="E1" s="3" t="s">
        <v>9</v>
      </c>
      <c r="F1" s="3" t="s">
        <v>10</v>
      </c>
      <c r="G1" s="3" t="s">
        <v>14</v>
      </c>
      <c r="H1" s="3" t="s">
        <v>15</v>
      </c>
      <c r="I1" s="3" t="s">
        <v>978</v>
      </c>
      <c r="J1" s="3" t="s">
        <v>11</v>
      </c>
      <c r="K1" s="3" t="s">
        <v>979</v>
      </c>
      <c r="L1" s="4" t="s">
        <v>980</v>
      </c>
    </row>
    <row r="2" spans="1:21">
      <c r="A2" s="56">
        <f>COUNTA(Q6:Q12)</f>
        <v>7</v>
      </c>
      <c r="B2" s="56">
        <f>COUNTA(U7)</f>
        <v>1</v>
      </c>
      <c r="C2" s="56">
        <v>0</v>
      </c>
      <c r="D2" s="56">
        <v>0</v>
      </c>
      <c r="E2">
        <f>COUNTA(Q22:Q27)</f>
        <v>6</v>
      </c>
      <c r="F2">
        <f>COUNTA(Q15:Q19)</f>
        <v>5</v>
      </c>
      <c r="G2">
        <f>COUNTA(D101:D102)</f>
        <v>2</v>
      </c>
      <c r="H2">
        <v>0</v>
      </c>
      <c r="I2">
        <f>COUNTA(B30:B90)</f>
        <v>61</v>
      </c>
      <c r="J2">
        <f>COUNTA(B93:B98)</f>
        <v>6</v>
      </c>
      <c r="K2">
        <v>0</v>
      </c>
      <c r="L2">
        <f>F282</f>
        <v>176</v>
      </c>
    </row>
    <row r="5" spans="1:21" ht="98">
      <c r="A5" s="37" t="s">
        <v>6808</v>
      </c>
      <c r="B5" s="37" t="s">
        <v>982</v>
      </c>
      <c r="C5" s="38" t="s">
        <v>983</v>
      </c>
      <c r="D5" s="38" t="s">
        <v>984</v>
      </c>
      <c r="E5" s="38" t="s">
        <v>985</v>
      </c>
      <c r="F5" s="38" t="s">
        <v>986</v>
      </c>
      <c r="G5" s="37" t="s">
        <v>6809</v>
      </c>
      <c r="H5" s="37" t="s">
        <v>6810</v>
      </c>
      <c r="I5" s="38" t="s">
        <v>989</v>
      </c>
      <c r="J5" s="38" t="s">
        <v>6811</v>
      </c>
      <c r="K5" s="38" t="s">
        <v>6812</v>
      </c>
      <c r="L5" s="37" t="s">
        <v>992</v>
      </c>
      <c r="M5" s="37" t="s">
        <v>6813</v>
      </c>
      <c r="N5" s="37" t="s">
        <v>6814</v>
      </c>
      <c r="O5" s="37" t="s">
        <v>995</v>
      </c>
      <c r="P5" s="38" t="s">
        <v>6815</v>
      </c>
      <c r="Q5" s="37" t="s">
        <v>997</v>
      </c>
      <c r="R5" s="37" t="s">
        <v>998</v>
      </c>
      <c r="S5" s="37" t="s">
        <v>999</v>
      </c>
      <c r="T5" s="37" t="s">
        <v>1000</v>
      </c>
      <c r="U5" s="37" t="s">
        <v>1001</v>
      </c>
    </row>
    <row r="6" spans="1:21">
      <c r="A6" s="39">
        <v>40562</v>
      </c>
      <c r="B6">
        <v>1</v>
      </c>
      <c r="D6" s="40" t="s">
        <v>6816</v>
      </c>
      <c r="E6" s="40" t="s">
        <v>6817</v>
      </c>
      <c r="F6" s="40" t="s">
        <v>6818</v>
      </c>
      <c r="G6">
        <v>2010</v>
      </c>
      <c r="H6">
        <v>1703</v>
      </c>
      <c r="I6" s="40" t="s">
        <v>1005</v>
      </c>
      <c r="J6" s="40" t="s">
        <v>6819</v>
      </c>
      <c r="K6" s="40" t="s">
        <v>6820</v>
      </c>
      <c r="L6" s="39">
        <v>40456</v>
      </c>
      <c r="M6">
        <v>8</v>
      </c>
      <c r="N6">
        <v>0</v>
      </c>
      <c r="O6">
        <v>111</v>
      </c>
      <c r="P6" s="40" t="s">
        <v>1008</v>
      </c>
      <c r="Q6">
        <v>1</v>
      </c>
      <c r="R6">
        <v>2</v>
      </c>
      <c r="S6">
        <v>2</v>
      </c>
      <c r="T6" s="56" t="s">
        <v>49</v>
      </c>
      <c r="U6" s="56" t="s">
        <v>49</v>
      </c>
    </row>
    <row r="7" spans="1:21">
      <c r="A7" s="39">
        <v>40603</v>
      </c>
      <c r="B7">
        <v>1</v>
      </c>
      <c r="F7" s="40" t="s">
        <v>6821</v>
      </c>
      <c r="G7">
        <v>2010</v>
      </c>
      <c r="H7">
        <v>1703</v>
      </c>
      <c r="I7" s="40" t="s">
        <v>1005</v>
      </c>
      <c r="J7" s="40" t="s">
        <v>6822</v>
      </c>
      <c r="K7" s="40" t="s">
        <v>6823</v>
      </c>
      <c r="L7" s="39">
        <v>40518</v>
      </c>
      <c r="M7">
        <v>8</v>
      </c>
      <c r="N7">
        <v>0</v>
      </c>
      <c r="O7">
        <v>111</v>
      </c>
      <c r="P7" s="40" t="s">
        <v>1008</v>
      </c>
      <c r="Q7">
        <v>1</v>
      </c>
      <c r="R7">
        <v>2</v>
      </c>
      <c r="S7">
        <v>2</v>
      </c>
      <c r="T7" s="56" t="s">
        <v>49</v>
      </c>
      <c r="U7" s="56" t="s">
        <v>78</v>
      </c>
    </row>
    <row r="8" spans="1:21">
      <c r="A8" s="39">
        <v>40609</v>
      </c>
      <c r="B8">
        <v>1</v>
      </c>
      <c r="F8" s="40" t="s">
        <v>6824</v>
      </c>
      <c r="G8">
        <v>2010</v>
      </c>
      <c r="H8">
        <v>1703</v>
      </c>
      <c r="I8" s="40" t="s">
        <v>1005</v>
      </c>
      <c r="J8" s="40" t="s">
        <v>6825</v>
      </c>
      <c r="K8" s="40" t="s">
        <v>6826</v>
      </c>
      <c r="L8" s="39">
        <v>40511</v>
      </c>
      <c r="M8">
        <v>9</v>
      </c>
      <c r="N8">
        <v>0</v>
      </c>
      <c r="O8">
        <v>111</v>
      </c>
      <c r="P8" s="40" t="s">
        <v>1008</v>
      </c>
      <c r="Q8">
        <v>1</v>
      </c>
      <c r="R8">
        <v>2</v>
      </c>
      <c r="S8">
        <v>2</v>
      </c>
      <c r="T8" s="56" t="s">
        <v>49</v>
      </c>
      <c r="U8" s="56" t="s">
        <v>49</v>
      </c>
    </row>
    <row r="9" spans="1:21">
      <c r="A9" s="39">
        <v>40679</v>
      </c>
      <c r="B9">
        <v>1</v>
      </c>
      <c r="E9" s="40" t="s">
        <v>6827</v>
      </c>
      <c r="F9" s="40" t="s">
        <v>6828</v>
      </c>
      <c r="G9">
        <v>2010</v>
      </c>
      <c r="H9">
        <v>1703</v>
      </c>
      <c r="I9" s="40" t="s">
        <v>1005</v>
      </c>
      <c r="J9" s="40" t="s">
        <v>6829</v>
      </c>
      <c r="K9" s="40" t="s">
        <v>6830</v>
      </c>
      <c r="L9" s="39">
        <v>40555</v>
      </c>
      <c r="M9">
        <v>8</v>
      </c>
      <c r="N9">
        <v>1</v>
      </c>
      <c r="O9">
        <v>111</v>
      </c>
      <c r="P9" s="40" t="s">
        <v>1008</v>
      </c>
      <c r="Q9">
        <v>1</v>
      </c>
      <c r="R9">
        <v>2</v>
      </c>
      <c r="S9">
        <v>2</v>
      </c>
      <c r="T9" s="56" t="s">
        <v>49</v>
      </c>
      <c r="U9" s="56" t="s">
        <v>49</v>
      </c>
    </row>
    <row r="10" spans="1:21">
      <c r="A10" s="39">
        <v>40694</v>
      </c>
      <c r="B10">
        <v>1</v>
      </c>
      <c r="F10" s="40" t="s">
        <v>6831</v>
      </c>
      <c r="G10">
        <v>2010</v>
      </c>
      <c r="H10">
        <v>1703</v>
      </c>
      <c r="I10" s="40" t="s">
        <v>1005</v>
      </c>
      <c r="J10" s="40" t="s">
        <v>6832</v>
      </c>
      <c r="K10" s="40" t="s">
        <v>6833</v>
      </c>
      <c r="L10" s="39">
        <v>40597</v>
      </c>
      <c r="M10">
        <v>8</v>
      </c>
      <c r="N10">
        <v>1</v>
      </c>
      <c r="O10">
        <v>111</v>
      </c>
      <c r="P10" s="40" t="s">
        <v>1008</v>
      </c>
      <c r="Q10">
        <v>1</v>
      </c>
      <c r="R10">
        <v>2</v>
      </c>
      <c r="S10">
        <v>2</v>
      </c>
      <c r="T10" s="56" t="s">
        <v>49</v>
      </c>
      <c r="U10" s="56" t="s">
        <v>49</v>
      </c>
    </row>
    <row r="11" spans="1:21">
      <c r="A11" s="39">
        <v>40707</v>
      </c>
      <c r="B11">
        <v>1</v>
      </c>
      <c r="F11" s="40" t="s">
        <v>6834</v>
      </c>
      <c r="G11">
        <v>2010</v>
      </c>
      <c r="H11">
        <v>1703</v>
      </c>
      <c r="I11" s="40" t="s">
        <v>1005</v>
      </c>
      <c r="J11" s="40" t="s">
        <v>6835</v>
      </c>
      <c r="K11" s="40" t="s">
        <v>6836</v>
      </c>
      <c r="L11" s="39">
        <v>40653</v>
      </c>
      <c r="M11">
        <v>7</v>
      </c>
      <c r="N11">
        <v>1</v>
      </c>
      <c r="O11">
        <v>111</v>
      </c>
      <c r="P11" s="40" t="s">
        <v>1008</v>
      </c>
      <c r="Q11">
        <v>1</v>
      </c>
      <c r="R11">
        <v>2</v>
      </c>
      <c r="S11">
        <v>2</v>
      </c>
      <c r="T11" s="56" t="s">
        <v>49</v>
      </c>
      <c r="U11" s="56" t="s">
        <v>49</v>
      </c>
    </row>
    <row r="12" spans="1:21">
      <c r="A12" s="39">
        <v>40710</v>
      </c>
      <c r="B12">
        <v>1</v>
      </c>
      <c r="F12" s="40" t="s">
        <v>6837</v>
      </c>
      <c r="G12">
        <v>2010</v>
      </c>
      <c r="H12">
        <v>1703</v>
      </c>
      <c r="I12" s="40" t="s">
        <v>1005</v>
      </c>
      <c r="J12" s="40" t="s">
        <v>6838</v>
      </c>
      <c r="K12" s="40" t="s">
        <v>6839</v>
      </c>
      <c r="L12" s="39">
        <v>40623</v>
      </c>
      <c r="M12">
        <v>7</v>
      </c>
      <c r="N12">
        <v>2</v>
      </c>
      <c r="O12">
        <v>111</v>
      </c>
      <c r="P12" s="40" t="s">
        <v>1008</v>
      </c>
      <c r="Q12">
        <v>1</v>
      </c>
      <c r="R12">
        <v>2</v>
      </c>
      <c r="S12">
        <v>2</v>
      </c>
      <c r="T12" s="56" t="s">
        <v>49</v>
      </c>
      <c r="U12" s="56" t="s">
        <v>49</v>
      </c>
    </row>
    <row r="13" spans="1:21">
      <c r="A13" s="39"/>
      <c r="F13" s="40"/>
      <c r="I13" s="40"/>
      <c r="J13" s="40"/>
      <c r="K13" s="40"/>
      <c r="L13" s="39"/>
      <c r="P13" s="40"/>
    </row>
    <row r="14" spans="1:21">
      <c r="A14" s="39"/>
      <c r="F14" s="40"/>
      <c r="I14" s="40"/>
      <c r="J14" s="40"/>
      <c r="K14" s="40"/>
      <c r="L14" s="39"/>
      <c r="P14" s="40"/>
    </row>
    <row r="15" spans="1:21">
      <c r="A15" s="39">
        <v>40604</v>
      </c>
      <c r="B15">
        <v>1</v>
      </c>
      <c r="F15" s="40" t="s">
        <v>6840</v>
      </c>
      <c r="G15">
        <v>2010</v>
      </c>
      <c r="H15">
        <v>1703</v>
      </c>
      <c r="I15" s="40" t="s">
        <v>1005</v>
      </c>
      <c r="J15" s="40" t="s">
        <v>6841</v>
      </c>
      <c r="K15" s="40" t="s">
        <v>6842</v>
      </c>
      <c r="L15" s="39">
        <v>40457</v>
      </c>
      <c r="M15">
        <v>8</v>
      </c>
      <c r="N15">
        <v>1</v>
      </c>
      <c r="O15">
        <v>111</v>
      </c>
      <c r="P15" s="40" t="s">
        <v>1008</v>
      </c>
      <c r="Q15">
        <v>2</v>
      </c>
      <c r="R15">
        <v>2</v>
      </c>
      <c r="S15">
        <v>1</v>
      </c>
    </row>
    <row r="16" spans="1:21">
      <c r="A16" s="39">
        <v>40604</v>
      </c>
      <c r="B16">
        <v>1</v>
      </c>
      <c r="F16" s="40" t="s">
        <v>6843</v>
      </c>
      <c r="G16">
        <v>2010</v>
      </c>
      <c r="H16">
        <v>1703</v>
      </c>
      <c r="I16" s="40" t="s">
        <v>1005</v>
      </c>
      <c r="J16" s="40" t="s">
        <v>6844</v>
      </c>
      <c r="K16" s="40" t="s">
        <v>6845</v>
      </c>
      <c r="L16" s="39">
        <v>40518</v>
      </c>
      <c r="M16">
        <v>6</v>
      </c>
      <c r="N16">
        <v>2</v>
      </c>
      <c r="O16">
        <v>111</v>
      </c>
      <c r="P16" s="40" t="s">
        <v>1008</v>
      </c>
      <c r="Q16">
        <v>2</v>
      </c>
      <c r="R16">
        <v>2</v>
      </c>
      <c r="S16">
        <v>1</v>
      </c>
    </row>
    <row r="17" spans="1:19">
      <c r="A17" s="39">
        <v>40686</v>
      </c>
      <c r="B17">
        <v>1</v>
      </c>
      <c r="F17" s="40" t="s">
        <v>6846</v>
      </c>
      <c r="G17">
        <v>2010</v>
      </c>
      <c r="H17">
        <v>1703</v>
      </c>
      <c r="I17" s="40" t="s">
        <v>1005</v>
      </c>
      <c r="J17" s="40" t="s">
        <v>6847</v>
      </c>
      <c r="K17" s="40" t="s">
        <v>6848</v>
      </c>
      <c r="L17" s="39">
        <v>40512</v>
      </c>
      <c r="M17">
        <v>5</v>
      </c>
      <c r="N17">
        <v>4</v>
      </c>
      <c r="O17">
        <v>111</v>
      </c>
      <c r="P17" s="40" t="s">
        <v>1008</v>
      </c>
      <c r="Q17">
        <v>2</v>
      </c>
      <c r="R17">
        <v>2</v>
      </c>
      <c r="S17">
        <v>1</v>
      </c>
    </row>
    <row r="18" spans="1:19">
      <c r="A18" s="39">
        <v>40689</v>
      </c>
      <c r="B18">
        <v>1</v>
      </c>
      <c r="F18" s="40" t="s">
        <v>6849</v>
      </c>
      <c r="G18">
        <v>2010</v>
      </c>
      <c r="H18">
        <v>1703</v>
      </c>
      <c r="I18" s="40" t="s">
        <v>1005</v>
      </c>
      <c r="J18" s="40" t="s">
        <v>6850</v>
      </c>
      <c r="K18" s="40" t="s">
        <v>6851</v>
      </c>
      <c r="L18" s="39">
        <v>40631</v>
      </c>
      <c r="M18">
        <v>7</v>
      </c>
      <c r="N18">
        <v>2</v>
      </c>
      <c r="O18">
        <v>111</v>
      </c>
      <c r="P18" s="40" t="s">
        <v>1008</v>
      </c>
      <c r="Q18">
        <v>2</v>
      </c>
      <c r="R18">
        <v>2</v>
      </c>
      <c r="S18">
        <v>1</v>
      </c>
    </row>
    <row r="19" spans="1:19">
      <c r="A19" s="39">
        <v>40710</v>
      </c>
      <c r="B19">
        <v>1</v>
      </c>
      <c r="F19" s="40" t="s">
        <v>6852</v>
      </c>
      <c r="G19">
        <v>2010</v>
      </c>
      <c r="H19">
        <v>1703</v>
      </c>
      <c r="I19" s="40" t="s">
        <v>1005</v>
      </c>
      <c r="J19" s="40" t="s">
        <v>6853</v>
      </c>
      <c r="K19" s="40" t="s">
        <v>6854</v>
      </c>
      <c r="L19" s="39">
        <v>40625</v>
      </c>
      <c r="M19">
        <v>5</v>
      </c>
      <c r="N19">
        <v>4</v>
      </c>
      <c r="O19">
        <v>111</v>
      </c>
      <c r="P19" s="40" t="s">
        <v>1008</v>
      </c>
      <c r="Q19">
        <v>2</v>
      </c>
      <c r="R19">
        <v>2</v>
      </c>
      <c r="S19">
        <v>1</v>
      </c>
    </row>
    <row r="20" spans="1:19">
      <c r="A20" s="39"/>
      <c r="F20" s="40"/>
      <c r="I20" s="40"/>
      <c r="J20" s="40"/>
      <c r="K20" s="40"/>
      <c r="L20" s="39"/>
      <c r="P20" s="40"/>
    </row>
    <row r="21" spans="1:19">
      <c r="A21" s="39"/>
      <c r="F21" s="40"/>
      <c r="I21" s="40"/>
      <c r="J21" s="40"/>
      <c r="K21" s="40"/>
      <c r="L21" s="39"/>
      <c r="P21" s="40"/>
    </row>
    <row r="22" spans="1:19">
      <c r="A22" s="39">
        <v>40609</v>
      </c>
      <c r="B22">
        <v>1</v>
      </c>
      <c r="F22" s="40" t="s">
        <v>6855</v>
      </c>
      <c r="G22">
        <v>2010</v>
      </c>
      <c r="H22">
        <v>1703</v>
      </c>
      <c r="I22" s="40" t="s">
        <v>1005</v>
      </c>
      <c r="J22" s="40" t="s">
        <v>6856</v>
      </c>
      <c r="K22" s="40" t="s">
        <v>6857</v>
      </c>
      <c r="L22" s="39">
        <v>40513</v>
      </c>
      <c r="M22">
        <v>8</v>
      </c>
      <c r="N22">
        <v>1</v>
      </c>
      <c r="O22">
        <v>111</v>
      </c>
      <c r="P22" s="40" t="s">
        <v>1008</v>
      </c>
      <c r="Q22">
        <v>3</v>
      </c>
      <c r="R22">
        <v>2</v>
      </c>
      <c r="S22">
        <v>2</v>
      </c>
    </row>
    <row r="23" spans="1:19">
      <c r="A23" s="39">
        <v>40637</v>
      </c>
      <c r="B23">
        <v>1</v>
      </c>
      <c r="F23" s="40" t="s">
        <v>6858</v>
      </c>
      <c r="G23">
        <v>2010</v>
      </c>
      <c r="H23">
        <v>1703</v>
      </c>
      <c r="I23" s="40" t="s">
        <v>1005</v>
      </c>
      <c r="J23" s="40" t="s">
        <v>6859</v>
      </c>
      <c r="K23" s="40" t="s">
        <v>6860</v>
      </c>
      <c r="L23" s="39">
        <v>40491</v>
      </c>
      <c r="M23">
        <v>5</v>
      </c>
      <c r="N23">
        <v>4</v>
      </c>
      <c r="O23">
        <v>111</v>
      </c>
      <c r="P23" s="40" t="s">
        <v>1008</v>
      </c>
      <c r="Q23">
        <v>3</v>
      </c>
      <c r="R23">
        <v>2</v>
      </c>
      <c r="S23">
        <v>2</v>
      </c>
    </row>
    <row r="24" spans="1:19">
      <c r="A24" s="39">
        <v>40714</v>
      </c>
      <c r="B24">
        <v>1</v>
      </c>
      <c r="F24" s="40" t="s">
        <v>6861</v>
      </c>
      <c r="G24">
        <v>2010</v>
      </c>
      <c r="H24">
        <v>1703</v>
      </c>
      <c r="I24" s="40" t="s">
        <v>1005</v>
      </c>
      <c r="J24" s="40" t="s">
        <v>6862</v>
      </c>
      <c r="K24" s="40" t="s">
        <v>6863</v>
      </c>
      <c r="L24" s="39">
        <v>40652</v>
      </c>
      <c r="M24">
        <v>8</v>
      </c>
      <c r="N24">
        <v>0</v>
      </c>
      <c r="O24">
        <v>111</v>
      </c>
      <c r="P24" s="40" t="s">
        <v>1008</v>
      </c>
      <c r="Q24">
        <v>3</v>
      </c>
      <c r="R24">
        <v>2</v>
      </c>
      <c r="S24">
        <v>2</v>
      </c>
    </row>
    <row r="25" spans="1:19">
      <c r="A25" s="39">
        <v>40603</v>
      </c>
      <c r="B25">
        <v>1</v>
      </c>
      <c r="F25" s="40" t="s">
        <v>6864</v>
      </c>
      <c r="G25">
        <v>2010</v>
      </c>
      <c r="H25">
        <v>1703</v>
      </c>
      <c r="I25" s="40" t="s">
        <v>1005</v>
      </c>
      <c r="J25" s="40" t="s">
        <v>6865</v>
      </c>
      <c r="K25" s="40" t="s">
        <v>6866</v>
      </c>
      <c r="L25" s="39">
        <v>40484</v>
      </c>
      <c r="M25">
        <v>8</v>
      </c>
      <c r="N25">
        <v>0</v>
      </c>
      <c r="O25">
        <v>111</v>
      </c>
      <c r="P25" s="40" t="s">
        <v>1008</v>
      </c>
      <c r="Q25">
        <v>4</v>
      </c>
      <c r="R25">
        <v>2</v>
      </c>
      <c r="S25">
        <v>2</v>
      </c>
    </row>
    <row r="26" spans="1:19">
      <c r="A26" s="39">
        <v>40707</v>
      </c>
      <c r="B26">
        <v>1</v>
      </c>
      <c r="F26" s="40" t="s">
        <v>6867</v>
      </c>
      <c r="G26">
        <v>2010</v>
      </c>
      <c r="H26">
        <v>1703</v>
      </c>
      <c r="I26" s="40" t="s">
        <v>1005</v>
      </c>
      <c r="J26" s="40" t="s">
        <v>6868</v>
      </c>
      <c r="K26" s="40" t="s">
        <v>6869</v>
      </c>
      <c r="L26" s="39">
        <v>40660</v>
      </c>
      <c r="M26">
        <v>9</v>
      </c>
      <c r="N26">
        <v>0</v>
      </c>
      <c r="O26">
        <v>111</v>
      </c>
      <c r="P26" s="40" t="s">
        <v>1008</v>
      </c>
      <c r="Q26">
        <v>4</v>
      </c>
      <c r="R26">
        <v>2</v>
      </c>
      <c r="S26">
        <v>2</v>
      </c>
    </row>
    <row r="27" spans="1:19">
      <c r="A27" s="39">
        <v>40721</v>
      </c>
      <c r="B27">
        <v>1</v>
      </c>
      <c r="F27" s="40" t="s">
        <v>6870</v>
      </c>
      <c r="G27">
        <v>2010</v>
      </c>
      <c r="H27">
        <v>1703</v>
      </c>
      <c r="I27" s="40" t="s">
        <v>1005</v>
      </c>
      <c r="J27" s="40" t="s">
        <v>6871</v>
      </c>
      <c r="K27" s="40" t="s">
        <v>6872</v>
      </c>
      <c r="L27" s="39">
        <v>40484</v>
      </c>
      <c r="M27">
        <v>7</v>
      </c>
      <c r="N27">
        <v>2</v>
      </c>
      <c r="O27">
        <v>111</v>
      </c>
      <c r="P27" s="40" t="s">
        <v>1008</v>
      </c>
      <c r="Q27">
        <v>4</v>
      </c>
      <c r="R27">
        <v>2</v>
      </c>
      <c r="S27">
        <v>2</v>
      </c>
    </row>
    <row r="28" spans="1:19">
      <c r="A28" s="39"/>
      <c r="F28" s="40"/>
      <c r="I28" s="40"/>
      <c r="J28" s="40"/>
      <c r="K28" s="40"/>
      <c r="L28" s="39"/>
      <c r="P28" s="40"/>
    </row>
    <row r="29" spans="1:19">
      <c r="A29" s="39"/>
      <c r="F29" s="40"/>
      <c r="I29" s="40"/>
      <c r="J29" s="40"/>
      <c r="K29" s="40"/>
      <c r="L29" s="39"/>
      <c r="P29" s="40"/>
    </row>
    <row r="30" spans="1:19">
      <c r="A30" s="39">
        <v>40490</v>
      </c>
      <c r="B30">
        <v>2</v>
      </c>
      <c r="D30" s="40" t="s">
        <v>6873</v>
      </c>
      <c r="E30" s="40" t="s">
        <v>6874</v>
      </c>
      <c r="F30" s="40" t="s">
        <v>6875</v>
      </c>
      <c r="G30">
        <v>2010</v>
      </c>
      <c r="H30">
        <v>1703</v>
      </c>
      <c r="I30" s="40" t="s">
        <v>1005</v>
      </c>
      <c r="J30" s="40" t="s">
        <v>6876</v>
      </c>
      <c r="K30" s="40" t="s">
        <v>6877</v>
      </c>
      <c r="M30">
        <v>9</v>
      </c>
      <c r="N30">
        <v>0</v>
      </c>
      <c r="O30">
        <v>111</v>
      </c>
      <c r="P30" s="40" t="s">
        <v>1008</v>
      </c>
      <c r="Q30">
        <v>1</v>
      </c>
      <c r="R30">
        <v>1</v>
      </c>
      <c r="S30">
        <v>2</v>
      </c>
    </row>
    <row r="31" spans="1:19">
      <c r="A31" s="39">
        <v>40497</v>
      </c>
      <c r="B31">
        <v>1</v>
      </c>
      <c r="D31" s="40" t="s">
        <v>6878</v>
      </c>
      <c r="E31" s="40" t="s">
        <v>6879</v>
      </c>
      <c r="F31" s="40" t="s">
        <v>6880</v>
      </c>
      <c r="G31">
        <v>2010</v>
      </c>
      <c r="H31">
        <v>1703</v>
      </c>
      <c r="I31" s="40" t="s">
        <v>1005</v>
      </c>
      <c r="J31" s="40" t="s">
        <v>6881</v>
      </c>
      <c r="K31" s="40" t="s">
        <v>6882</v>
      </c>
      <c r="L31" s="39">
        <v>40455</v>
      </c>
      <c r="M31">
        <v>8</v>
      </c>
      <c r="N31">
        <v>0</v>
      </c>
      <c r="O31">
        <v>111</v>
      </c>
      <c r="P31" s="40" t="s">
        <v>1008</v>
      </c>
      <c r="Q31">
        <v>1</v>
      </c>
      <c r="R31">
        <v>1</v>
      </c>
      <c r="S31">
        <v>2</v>
      </c>
    </row>
    <row r="32" spans="1:19">
      <c r="A32" s="39">
        <v>40512</v>
      </c>
      <c r="B32">
        <v>1</v>
      </c>
      <c r="D32" s="40" t="s">
        <v>6883</v>
      </c>
      <c r="E32" s="40" t="s">
        <v>6884</v>
      </c>
      <c r="F32" s="40" t="s">
        <v>6885</v>
      </c>
      <c r="G32">
        <v>2010</v>
      </c>
      <c r="H32">
        <v>1703</v>
      </c>
      <c r="I32" s="40" t="s">
        <v>1005</v>
      </c>
      <c r="J32" s="40" t="s">
        <v>6886</v>
      </c>
      <c r="K32" s="40" t="s">
        <v>6887</v>
      </c>
      <c r="L32" s="39">
        <v>40456</v>
      </c>
      <c r="M32">
        <v>8</v>
      </c>
      <c r="N32">
        <v>0</v>
      </c>
      <c r="O32">
        <v>111</v>
      </c>
      <c r="P32" s="40" t="s">
        <v>1008</v>
      </c>
      <c r="Q32">
        <v>1</v>
      </c>
      <c r="R32">
        <v>1</v>
      </c>
      <c r="S32">
        <v>2</v>
      </c>
    </row>
    <row r="33" spans="1:19">
      <c r="A33" s="39">
        <v>40554</v>
      </c>
      <c r="B33">
        <v>1</v>
      </c>
      <c r="E33" s="40" t="s">
        <v>6888</v>
      </c>
      <c r="F33" s="40" t="s">
        <v>6889</v>
      </c>
      <c r="G33">
        <v>2010</v>
      </c>
      <c r="H33">
        <v>1703</v>
      </c>
      <c r="I33" s="40" t="s">
        <v>1005</v>
      </c>
      <c r="J33" s="40" t="s">
        <v>6890</v>
      </c>
      <c r="K33" s="40" t="s">
        <v>6891</v>
      </c>
      <c r="L33" s="39">
        <v>40490</v>
      </c>
      <c r="M33">
        <v>8</v>
      </c>
      <c r="N33">
        <v>0</v>
      </c>
      <c r="O33">
        <v>111</v>
      </c>
      <c r="P33" s="40" t="s">
        <v>1008</v>
      </c>
      <c r="Q33">
        <v>1</v>
      </c>
      <c r="R33">
        <v>1</v>
      </c>
      <c r="S33">
        <v>2</v>
      </c>
    </row>
    <row r="34" spans="1:19">
      <c r="A34" s="39">
        <v>40554</v>
      </c>
      <c r="B34">
        <v>1</v>
      </c>
      <c r="D34" s="40" t="s">
        <v>6892</v>
      </c>
      <c r="E34" s="40" t="s">
        <v>6893</v>
      </c>
      <c r="F34" s="40" t="s">
        <v>6894</v>
      </c>
      <c r="G34">
        <v>2010</v>
      </c>
      <c r="H34">
        <v>1703</v>
      </c>
      <c r="I34" s="40" t="s">
        <v>1005</v>
      </c>
      <c r="J34" s="40" t="s">
        <v>6895</v>
      </c>
      <c r="K34" s="40" t="s">
        <v>6896</v>
      </c>
      <c r="L34" s="39">
        <v>40455</v>
      </c>
      <c r="M34">
        <v>8</v>
      </c>
      <c r="N34">
        <v>1</v>
      </c>
      <c r="O34">
        <v>111</v>
      </c>
      <c r="P34" s="40" t="s">
        <v>1008</v>
      </c>
      <c r="Q34">
        <v>1</v>
      </c>
      <c r="R34">
        <v>1</v>
      </c>
      <c r="S34">
        <v>2</v>
      </c>
    </row>
    <row r="35" spans="1:19">
      <c r="A35" s="39">
        <v>40562</v>
      </c>
      <c r="B35">
        <v>1</v>
      </c>
      <c r="F35" s="40" t="s">
        <v>6897</v>
      </c>
      <c r="G35">
        <v>2010</v>
      </c>
      <c r="H35">
        <v>1703</v>
      </c>
      <c r="I35" s="40" t="s">
        <v>1005</v>
      </c>
      <c r="J35" s="40" t="s">
        <v>6898</v>
      </c>
      <c r="K35" s="40" t="s">
        <v>6899</v>
      </c>
      <c r="L35" s="39">
        <v>40463</v>
      </c>
      <c r="M35">
        <v>8</v>
      </c>
      <c r="N35">
        <v>0</v>
      </c>
      <c r="O35">
        <v>111</v>
      </c>
      <c r="P35" s="40" t="s">
        <v>1008</v>
      </c>
      <c r="Q35">
        <v>1</v>
      </c>
      <c r="R35">
        <v>1</v>
      </c>
      <c r="S35">
        <v>2</v>
      </c>
    </row>
    <row r="36" spans="1:19">
      <c r="A36" s="39">
        <v>40562</v>
      </c>
      <c r="B36">
        <v>1</v>
      </c>
      <c r="D36" s="40" t="s">
        <v>6900</v>
      </c>
      <c r="E36" s="40" t="s">
        <v>6901</v>
      </c>
      <c r="F36" s="40" t="s">
        <v>6902</v>
      </c>
      <c r="G36">
        <v>2010</v>
      </c>
      <c r="H36">
        <v>1703</v>
      </c>
      <c r="I36" s="40" t="s">
        <v>1005</v>
      </c>
      <c r="J36" s="40" t="s">
        <v>6903</v>
      </c>
      <c r="K36" s="40" t="s">
        <v>6904</v>
      </c>
      <c r="L36" s="39">
        <v>40463</v>
      </c>
      <c r="M36">
        <v>8</v>
      </c>
      <c r="N36">
        <v>0</v>
      </c>
      <c r="O36">
        <v>111</v>
      </c>
      <c r="P36" s="40" t="s">
        <v>1008</v>
      </c>
      <c r="Q36">
        <v>1</v>
      </c>
      <c r="R36">
        <v>1</v>
      </c>
      <c r="S36">
        <v>2</v>
      </c>
    </row>
    <row r="37" spans="1:19">
      <c r="A37" s="39">
        <v>40567</v>
      </c>
      <c r="B37">
        <v>1</v>
      </c>
      <c r="D37" s="40" t="s">
        <v>6905</v>
      </c>
      <c r="E37" s="40" t="s">
        <v>6906</v>
      </c>
      <c r="F37" s="40" t="s">
        <v>6907</v>
      </c>
      <c r="G37">
        <v>2010</v>
      </c>
      <c r="H37">
        <v>1703</v>
      </c>
      <c r="I37" s="40" t="s">
        <v>1005</v>
      </c>
      <c r="J37" s="40" t="s">
        <v>6908</v>
      </c>
      <c r="K37" s="40" t="s">
        <v>6909</v>
      </c>
      <c r="L37" s="39">
        <v>40520</v>
      </c>
      <c r="M37">
        <v>9</v>
      </c>
      <c r="N37">
        <v>0</v>
      </c>
      <c r="O37">
        <v>111</v>
      </c>
      <c r="P37" s="40" t="s">
        <v>1008</v>
      </c>
      <c r="Q37">
        <v>1</v>
      </c>
      <c r="R37">
        <v>1</v>
      </c>
      <c r="S37">
        <v>2</v>
      </c>
    </row>
    <row r="38" spans="1:19">
      <c r="A38" s="39">
        <v>40567</v>
      </c>
      <c r="B38">
        <v>1</v>
      </c>
      <c r="D38" s="40" t="s">
        <v>6910</v>
      </c>
      <c r="E38" s="40" t="s">
        <v>6911</v>
      </c>
      <c r="F38" s="40" t="s">
        <v>6912</v>
      </c>
      <c r="G38">
        <v>2010</v>
      </c>
      <c r="H38">
        <v>1703</v>
      </c>
      <c r="I38" s="40" t="s">
        <v>1005</v>
      </c>
      <c r="J38" s="40" t="s">
        <v>6913</v>
      </c>
      <c r="K38" s="40" t="s">
        <v>6914</v>
      </c>
      <c r="L38" s="39">
        <v>40483</v>
      </c>
      <c r="M38">
        <v>9</v>
      </c>
      <c r="N38">
        <v>0</v>
      </c>
      <c r="O38">
        <v>111</v>
      </c>
      <c r="P38" s="40" t="s">
        <v>1008</v>
      </c>
      <c r="Q38">
        <v>1</v>
      </c>
      <c r="R38">
        <v>1</v>
      </c>
      <c r="S38">
        <v>2</v>
      </c>
    </row>
    <row r="39" spans="1:19">
      <c r="A39" s="39">
        <v>40567</v>
      </c>
      <c r="B39">
        <v>1</v>
      </c>
      <c r="D39" s="40" t="s">
        <v>6915</v>
      </c>
      <c r="E39" s="40" t="s">
        <v>6916</v>
      </c>
      <c r="F39" s="40" t="s">
        <v>6917</v>
      </c>
      <c r="G39">
        <v>2010</v>
      </c>
      <c r="H39">
        <v>1703</v>
      </c>
      <c r="I39" s="40" t="s">
        <v>1005</v>
      </c>
      <c r="J39" s="40" t="s">
        <v>6918</v>
      </c>
      <c r="K39" s="40" t="s">
        <v>6919</v>
      </c>
      <c r="L39" s="39">
        <v>40519</v>
      </c>
      <c r="M39">
        <v>8</v>
      </c>
      <c r="N39">
        <v>0</v>
      </c>
      <c r="O39">
        <v>111</v>
      </c>
      <c r="P39" s="40" t="s">
        <v>1008</v>
      </c>
      <c r="Q39">
        <v>1</v>
      </c>
      <c r="R39">
        <v>1</v>
      </c>
      <c r="S39">
        <v>2</v>
      </c>
    </row>
    <row r="40" spans="1:19">
      <c r="A40" s="39">
        <v>40596</v>
      </c>
      <c r="B40">
        <v>1</v>
      </c>
      <c r="E40" s="40" t="s">
        <v>6920</v>
      </c>
      <c r="F40" s="40" t="s">
        <v>6921</v>
      </c>
      <c r="G40">
        <v>2010</v>
      </c>
      <c r="H40">
        <v>1703</v>
      </c>
      <c r="I40" s="40" t="s">
        <v>1005</v>
      </c>
      <c r="J40" s="40" t="s">
        <v>6922</v>
      </c>
      <c r="K40" s="40" t="s">
        <v>6923</v>
      </c>
      <c r="L40" s="39">
        <v>40463</v>
      </c>
      <c r="M40">
        <v>6</v>
      </c>
      <c r="N40">
        <v>2</v>
      </c>
      <c r="O40">
        <v>111</v>
      </c>
      <c r="P40" s="40" t="s">
        <v>1008</v>
      </c>
      <c r="Q40">
        <v>1</v>
      </c>
      <c r="R40">
        <v>1</v>
      </c>
      <c r="S40">
        <v>2</v>
      </c>
    </row>
    <row r="41" spans="1:19">
      <c r="A41" s="39">
        <v>40596</v>
      </c>
      <c r="B41">
        <v>1</v>
      </c>
      <c r="E41" s="40" t="s">
        <v>6924</v>
      </c>
      <c r="F41" s="40" t="s">
        <v>6925</v>
      </c>
      <c r="G41">
        <v>2010</v>
      </c>
      <c r="H41">
        <v>1703</v>
      </c>
      <c r="I41" s="40" t="s">
        <v>1005</v>
      </c>
      <c r="J41" s="40" t="s">
        <v>6926</v>
      </c>
      <c r="K41" s="40" t="s">
        <v>6927</v>
      </c>
      <c r="L41" s="39">
        <v>40492</v>
      </c>
      <c r="M41">
        <v>7</v>
      </c>
      <c r="N41">
        <v>2</v>
      </c>
      <c r="O41">
        <v>111</v>
      </c>
      <c r="P41" s="40" t="s">
        <v>1008</v>
      </c>
      <c r="Q41">
        <v>1</v>
      </c>
      <c r="R41">
        <v>1</v>
      </c>
      <c r="S41">
        <v>2</v>
      </c>
    </row>
    <row r="42" spans="1:19">
      <c r="A42" s="39">
        <v>40597</v>
      </c>
      <c r="B42">
        <v>1</v>
      </c>
      <c r="E42" s="40" t="s">
        <v>6928</v>
      </c>
      <c r="F42" s="40" t="s">
        <v>6929</v>
      </c>
      <c r="G42">
        <v>2010</v>
      </c>
      <c r="H42">
        <v>1703</v>
      </c>
      <c r="I42" s="40" t="s">
        <v>1005</v>
      </c>
      <c r="J42" s="40" t="s">
        <v>6930</v>
      </c>
      <c r="K42" s="40" t="s">
        <v>6931</v>
      </c>
      <c r="L42" s="39">
        <v>40511</v>
      </c>
      <c r="M42">
        <v>9</v>
      </c>
      <c r="N42">
        <v>0</v>
      </c>
      <c r="O42">
        <v>111</v>
      </c>
      <c r="P42" s="40" t="s">
        <v>1008</v>
      </c>
      <c r="Q42">
        <v>1</v>
      </c>
      <c r="R42">
        <v>1</v>
      </c>
      <c r="S42">
        <v>2</v>
      </c>
    </row>
    <row r="43" spans="1:19">
      <c r="A43" s="39">
        <v>40597</v>
      </c>
      <c r="B43">
        <v>1</v>
      </c>
      <c r="E43" s="40" t="s">
        <v>6932</v>
      </c>
      <c r="F43" s="40" t="s">
        <v>6933</v>
      </c>
      <c r="G43">
        <v>2010</v>
      </c>
      <c r="H43">
        <v>1703</v>
      </c>
      <c r="I43" s="40" t="s">
        <v>1005</v>
      </c>
      <c r="J43" s="40" t="s">
        <v>6934</v>
      </c>
      <c r="K43" s="40" t="s">
        <v>6935</v>
      </c>
      <c r="L43" s="39">
        <v>40485</v>
      </c>
      <c r="M43">
        <v>8</v>
      </c>
      <c r="N43">
        <v>0</v>
      </c>
      <c r="O43">
        <v>111</v>
      </c>
      <c r="P43" s="40" t="s">
        <v>1008</v>
      </c>
      <c r="Q43">
        <v>1</v>
      </c>
      <c r="R43">
        <v>1</v>
      </c>
      <c r="S43">
        <v>2</v>
      </c>
    </row>
    <row r="44" spans="1:19">
      <c r="A44" s="39">
        <v>40602</v>
      </c>
      <c r="B44">
        <v>1</v>
      </c>
      <c r="F44" s="40" t="s">
        <v>6936</v>
      </c>
      <c r="G44">
        <v>2010</v>
      </c>
      <c r="H44">
        <v>1703</v>
      </c>
      <c r="I44" s="40" t="s">
        <v>1005</v>
      </c>
      <c r="J44" s="40" t="s">
        <v>6937</v>
      </c>
      <c r="K44" s="40" t="s">
        <v>6938</v>
      </c>
      <c r="L44" s="39">
        <v>40456</v>
      </c>
      <c r="M44">
        <v>6</v>
      </c>
      <c r="N44">
        <v>2</v>
      </c>
      <c r="O44">
        <v>111</v>
      </c>
      <c r="P44" s="40" t="s">
        <v>1008</v>
      </c>
      <c r="Q44">
        <v>1</v>
      </c>
      <c r="R44">
        <v>1</v>
      </c>
      <c r="S44">
        <v>2</v>
      </c>
    </row>
    <row r="45" spans="1:19">
      <c r="A45" s="39">
        <v>40603</v>
      </c>
      <c r="B45">
        <v>1</v>
      </c>
      <c r="F45" s="40" t="s">
        <v>6939</v>
      </c>
      <c r="G45">
        <v>2010</v>
      </c>
      <c r="H45">
        <v>1703</v>
      </c>
      <c r="I45" s="40" t="s">
        <v>1005</v>
      </c>
      <c r="J45" s="40" t="s">
        <v>6940</v>
      </c>
      <c r="K45" s="40" t="s">
        <v>6941</v>
      </c>
      <c r="L45" s="39">
        <v>40562</v>
      </c>
      <c r="M45">
        <v>8</v>
      </c>
      <c r="N45">
        <v>0</v>
      </c>
      <c r="O45">
        <v>111</v>
      </c>
      <c r="P45" s="40" t="s">
        <v>1008</v>
      </c>
      <c r="Q45">
        <v>1</v>
      </c>
      <c r="R45">
        <v>1</v>
      </c>
      <c r="S45">
        <v>2</v>
      </c>
    </row>
    <row r="46" spans="1:19">
      <c r="A46" s="39">
        <v>40609</v>
      </c>
      <c r="B46">
        <v>1</v>
      </c>
      <c r="F46" s="40" t="s">
        <v>6942</v>
      </c>
      <c r="G46">
        <v>2010</v>
      </c>
      <c r="H46">
        <v>1703</v>
      </c>
      <c r="I46" s="40" t="s">
        <v>1005</v>
      </c>
      <c r="J46" s="40" t="s">
        <v>6943</v>
      </c>
      <c r="K46" s="40" t="s">
        <v>6944</v>
      </c>
      <c r="L46" s="39">
        <v>40464</v>
      </c>
      <c r="M46">
        <v>6</v>
      </c>
      <c r="N46">
        <v>3</v>
      </c>
      <c r="O46">
        <v>111</v>
      </c>
      <c r="P46" s="40" t="s">
        <v>1008</v>
      </c>
      <c r="Q46">
        <v>2</v>
      </c>
      <c r="R46">
        <v>1</v>
      </c>
      <c r="S46">
        <v>1</v>
      </c>
    </row>
    <row r="47" spans="1:19">
      <c r="A47" s="39">
        <v>40624</v>
      </c>
      <c r="B47">
        <v>1</v>
      </c>
      <c r="F47" s="40" t="s">
        <v>6945</v>
      </c>
      <c r="G47">
        <v>2010</v>
      </c>
      <c r="H47">
        <v>1703</v>
      </c>
      <c r="I47" s="40" t="s">
        <v>1005</v>
      </c>
      <c r="J47" s="40" t="s">
        <v>6946</v>
      </c>
      <c r="K47" s="40" t="s">
        <v>6947</v>
      </c>
      <c r="L47" s="39">
        <v>40464</v>
      </c>
      <c r="M47">
        <v>6</v>
      </c>
      <c r="N47">
        <v>2</v>
      </c>
      <c r="O47">
        <v>111</v>
      </c>
      <c r="P47" s="40" t="s">
        <v>1008</v>
      </c>
      <c r="Q47">
        <v>1</v>
      </c>
      <c r="R47">
        <v>1</v>
      </c>
      <c r="S47">
        <v>2</v>
      </c>
    </row>
    <row r="48" spans="1:19">
      <c r="A48" s="39">
        <v>40624</v>
      </c>
      <c r="B48">
        <v>1</v>
      </c>
      <c r="F48" s="40" t="s">
        <v>6948</v>
      </c>
      <c r="G48">
        <v>2010</v>
      </c>
      <c r="H48">
        <v>1703</v>
      </c>
      <c r="I48" s="40" t="s">
        <v>1005</v>
      </c>
      <c r="J48" s="40" t="s">
        <v>6949</v>
      </c>
      <c r="K48" s="40" t="s">
        <v>6950</v>
      </c>
      <c r="L48" s="39">
        <v>40553</v>
      </c>
      <c r="M48">
        <v>9</v>
      </c>
      <c r="N48">
        <v>0</v>
      </c>
      <c r="O48">
        <v>111</v>
      </c>
      <c r="P48" s="40" t="s">
        <v>1008</v>
      </c>
      <c r="Q48">
        <v>1</v>
      </c>
      <c r="R48">
        <v>1</v>
      </c>
      <c r="S48">
        <v>2</v>
      </c>
    </row>
    <row r="49" spans="1:19">
      <c r="A49" s="39">
        <v>40631</v>
      </c>
      <c r="B49">
        <v>1</v>
      </c>
      <c r="F49" s="40" t="s">
        <v>6951</v>
      </c>
      <c r="G49">
        <v>2010</v>
      </c>
      <c r="H49">
        <v>1703</v>
      </c>
      <c r="I49" s="40" t="s">
        <v>1005</v>
      </c>
      <c r="J49" s="40" t="s">
        <v>6952</v>
      </c>
      <c r="K49" s="40" t="s">
        <v>6953</v>
      </c>
      <c r="L49" s="39">
        <v>40457</v>
      </c>
      <c r="M49">
        <v>5</v>
      </c>
      <c r="N49">
        <v>4</v>
      </c>
      <c r="O49">
        <v>111</v>
      </c>
      <c r="P49" s="40" t="s">
        <v>1008</v>
      </c>
      <c r="Q49">
        <v>3</v>
      </c>
      <c r="R49">
        <v>1</v>
      </c>
      <c r="S49">
        <v>2</v>
      </c>
    </row>
    <row r="50" spans="1:19">
      <c r="A50" s="39">
        <v>40631</v>
      </c>
      <c r="B50">
        <v>1</v>
      </c>
      <c r="F50" s="40" t="s">
        <v>6954</v>
      </c>
      <c r="G50">
        <v>2010</v>
      </c>
      <c r="H50">
        <v>1703</v>
      </c>
      <c r="I50" s="40" t="s">
        <v>1005</v>
      </c>
      <c r="J50" s="40" t="s">
        <v>6955</v>
      </c>
      <c r="K50" s="40" t="s">
        <v>6956</v>
      </c>
      <c r="L50" s="39">
        <v>40562</v>
      </c>
      <c r="M50">
        <v>8</v>
      </c>
      <c r="N50">
        <v>0</v>
      </c>
      <c r="O50">
        <v>111</v>
      </c>
      <c r="P50" s="40" t="s">
        <v>1008</v>
      </c>
      <c r="Q50">
        <v>1</v>
      </c>
      <c r="R50">
        <v>1</v>
      </c>
      <c r="S50">
        <v>2</v>
      </c>
    </row>
    <row r="51" spans="1:19">
      <c r="A51" s="39">
        <v>40637</v>
      </c>
      <c r="B51">
        <v>1</v>
      </c>
      <c r="F51" s="40" t="s">
        <v>6957</v>
      </c>
      <c r="G51">
        <v>2010</v>
      </c>
      <c r="H51">
        <v>1703</v>
      </c>
      <c r="I51" s="40" t="s">
        <v>1005</v>
      </c>
      <c r="J51" s="40" t="s">
        <v>6958</v>
      </c>
      <c r="K51" s="40" t="s">
        <v>6959</v>
      </c>
      <c r="L51" s="39">
        <v>40485</v>
      </c>
      <c r="M51">
        <v>5</v>
      </c>
      <c r="N51">
        <v>4</v>
      </c>
      <c r="O51">
        <v>111</v>
      </c>
      <c r="P51" s="40" t="s">
        <v>1008</v>
      </c>
      <c r="Q51">
        <v>1</v>
      </c>
      <c r="R51">
        <v>1</v>
      </c>
      <c r="S51">
        <v>2</v>
      </c>
    </row>
    <row r="52" spans="1:19">
      <c r="A52" s="39">
        <v>40653</v>
      </c>
      <c r="B52">
        <v>1</v>
      </c>
      <c r="F52" s="40" t="s">
        <v>6960</v>
      </c>
      <c r="G52">
        <v>2010</v>
      </c>
      <c r="H52">
        <v>1703</v>
      </c>
      <c r="I52" s="40" t="s">
        <v>1005</v>
      </c>
      <c r="J52" s="40" t="s">
        <v>6961</v>
      </c>
      <c r="K52" s="40" t="s">
        <v>6962</v>
      </c>
      <c r="L52" s="39">
        <v>40484</v>
      </c>
      <c r="M52">
        <v>6</v>
      </c>
      <c r="N52">
        <v>2</v>
      </c>
      <c r="O52">
        <v>111</v>
      </c>
      <c r="P52" s="40" t="s">
        <v>1008</v>
      </c>
      <c r="Q52">
        <v>1</v>
      </c>
      <c r="R52">
        <v>1</v>
      </c>
      <c r="S52">
        <v>2</v>
      </c>
    </row>
    <row r="53" spans="1:19">
      <c r="A53" s="39">
        <v>40652</v>
      </c>
      <c r="B53">
        <v>1</v>
      </c>
      <c r="F53" s="40" t="s">
        <v>6963</v>
      </c>
      <c r="G53">
        <v>2010</v>
      </c>
      <c r="H53">
        <v>1703</v>
      </c>
      <c r="I53" s="40" t="s">
        <v>1005</v>
      </c>
      <c r="J53" s="40" t="s">
        <v>6964</v>
      </c>
      <c r="K53" s="40" t="s">
        <v>6965</v>
      </c>
      <c r="L53" s="39">
        <v>40513</v>
      </c>
      <c r="M53">
        <v>6</v>
      </c>
      <c r="N53">
        <v>2</v>
      </c>
      <c r="O53">
        <v>111</v>
      </c>
      <c r="P53" s="40" t="s">
        <v>1008</v>
      </c>
      <c r="Q53">
        <v>2</v>
      </c>
      <c r="R53">
        <v>1</v>
      </c>
      <c r="S53">
        <v>1</v>
      </c>
    </row>
    <row r="54" spans="1:19">
      <c r="A54" s="39">
        <v>40665</v>
      </c>
      <c r="B54">
        <v>1</v>
      </c>
      <c r="F54" s="40" t="s">
        <v>6966</v>
      </c>
      <c r="G54">
        <v>2010</v>
      </c>
      <c r="H54">
        <v>1703</v>
      </c>
      <c r="I54" s="40" t="s">
        <v>1005</v>
      </c>
      <c r="J54" s="40" t="s">
        <v>6967</v>
      </c>
      <c r="K54" s="40" t="s">
        <v>6968</v>
      </c>
      <c r="L54" s="39">
        <v>40553</v>
      </c>
      <c r="M54">
        <v>7</v>
      </c>
      <c r="N54">
        <v>1</v>
      </c>
      <c r="O54">
        <v>111</v>
      </c>
      <c r="P54" s="40" t="s">
        <v>1008</v>
      </c>
      <c r="Q54">
        <v>1</v>
      </c>
      <c r="R54">
        <v>1</v>
      </c>
      <c r="S54">
        <v>2</v>
      </c>
    </row>
    <row r="55" spans="1:19">
      <c r="A55" s="39">
        <v>40660</v>
      </c>
      <c r="B55">
        <v>1</v>
      </c>
      <c r="F55" s="40" t="s">
        <v>6969</v>
      </c>
      <c r="G55">
        <v>2010</v>
      </c>
      <c r="H55">
        <v>1703</v>
      </c>
      <c r="I55" s="40" t="s">
        <v>1005</v>
      </c>
      <c r="J55" s="40" t="s">
        <v>6970</v>
      </c>
      <c r="K55" s="40" t="s">
        <v>6971</v>
      </c>
      <c r="L55" s="39">
        <v>40491</v>
      </c>
      <c r="M55">
        <v>5</v>
      </c>
      <c r="N55">
        <v>4</v>
      </c>
      <c r="O55">
        <v>111</v>
      </c>
      <c r="P55" s="40" t="s">
        <v>1008</v>
      </c>
      <c r="Q55">
        <v>1</v>
      </c>
      <c r="R55">
        <v>1</v>
      </c>
      <c r="S55">
        <v>2</v>
      </c>
    </row>
    <row r="56" spans="1:19">
      <c r="A56" s="39">
        <v>40659</v>
      </c>
      <c r="B56">
        <v>1</v>
      </c>
      <c r="F56" s="40" t="s">
        <v>6972</v>
      </c>
      <c r="G56">
        <v>2010</v>
      </c>
      <c r="H56">
        <v>1703</v>
      </c>
      <c r="I56" s="40" t="s">
        <v>1005</v>
      </c>
      <c r="J56" s="40" t="s">
        <v>6973</v>
      </c>
      <c r="K56" s="40" t="s">
        <v>6974</v>
      </c>
      <c r="L56" s="39">
        <v>40483</v>
      </c>
      <c r="M56">
        <v>7</v>
      </c>
      <c r="N56">
        <v>1</v>
      </c>
      <c r="O56">
        <v>111</v>
      </c>
      <c r="P56" s="40" t="s">
        <v>1008</v>
      </c>
      <c r="Q56">
        <v>1</v>
      </c>
      <c r="R56">
        <v>1</v>
      </c>
      <c r="S56">
        <v>2</v>
      </c>
    </row>
    <row r="57" spans="1:19">
      <c r="A57" s="39">
        <v>40679</v>
      </c>
      <c r="B57">
        <v>1</v>
      </c>
      <c r="E57" s="40" t="s">
        <v>6975</v>
      </c>
      <c r="F57" s="40" t="s">
        <v>6976</v>
      </c>
      <c r="G57">
        <v>2010</v>
      </c>
      <c r="H57">
        <v>1703</v>
      </c>
      <c r="I57" s="40" t="s">
        <v>1005</v>
      </c>
      <c r="J57" s="40" t="s">
        <v>6977</v>
      </c>
      <c r="K57" s="40" t="s">
        <v>6978</v>
      </c>
      <c r="L57" s="39">
        <v>40603</v>
      </c>
      <c r="M57">
        <v>5</v>
      </c>
      <c r="N57">
        <v>3</v>
      </c>
      <c r="O57">
        <v>111</v>
      </c>
      <c r="P57" s="40" t="s">
        <v>1008</v>
      </c>
      <c r="Q57">
        <v>1</v>
      </c>
      <c r="R57">
        <v>1</v>
      </c>
      <c r="S57">
        <v>2</v>
      </c>
    </row>
    <row r="58" spans="1:19">
      <c r="A58" s="39">
        <v>40679</v>
      </c>
      <c r="B58">
        <v>1</v>
      </c>
      <c r="E58" s="40" t="s">
        <v>6979</v>
      </c>
      <c r="F58" s="40" t="s">
        <v>6980</v>
      </c>
      <c r="G58">
        <v>2010</v>
      </c>
      <c r="H58">
        <v>1703</v>
      </c>
      <c r="I58" s="40" t="s">
        <v>1005</v>
      </c>
      <c r="J58" s="40" t="s">
        <v>6981</v>
      </c>
      <c r="K58" s="40" t="s">
        <v>6982</v>
      </c>
      <c r="L58" s="39">
        <v>40512</v>
      </c>
      <c r="M58">
        <v>8</v>
      </c>
      <c r="N58">
        <v>0</v>
      </c>
      <c r="O58">
        <v>111</v>
      </c>
      <c r="P58" s="40" t="s">
        <v>1008</v>
      </c>
      <c r="Q58">
        <v>1</v>
      </c>
      <c r="R58">
        <v>1</v>
      </c>
      <c r="S58">
        <v>2</v>
      </c>
    </row>
    <row r="59" spans="1:19">
      <c r="A59" s="39">
        <v>40686</v>
      </c>
      <c r="B59">
        <v>1</v>
      </c>
      <c r="F59" s="40" t="s">
        <v>6983</v>
      </c>
      <c r="G59">
        <v>2010</v>
      </c>
      <c r="H59">
        <v>1703</v>
      </c>
      <c r="I59" s="40" t="s">
        <v>1005</v>
      </c>
      <c r="J59" s="40" t="s">
        <v>6984</v>
      </c>
      <c r="K59" s="40" t="s">
        <v>6985</v>
      </c>
      <c r="L59" s="39">
        <v>40561</v>
      </c>
      <c r="M59">
        <v>9</v>
      </c>
      <c r="N59">
        <v>0</v>
      </c>
      <c r="O59">
        <v>111</v>
      </c>
      <c r="P59" s="40" t="s">
        <v>1008</v>
      </c>
      <c r="Q59">
        <v>1</v>
      </c>
      <c r="R59">
        <v>1</v>
      </c>
      <c r="S59">
        <v>2</v>
      </c>
    </row>
    <row r="60" spans="1:19">
      <c r="A60" s="39">
        <v>40689</v>
      </c>
      <c r="B60">
        <v>1</v>
      </c>
      <c r="F60" s="40" t="s">
        <v>6986</v>
      </c>
      <c r="G60">
        <v>2010</v>
      </c>
      <c r="H60">
        <v>1703</v>
      </c>
      <c r="I60" s="40" t="s">
        <v>1005</v>
      </c>
      <c r="J60" s="40" t="s">
        <v>6987</v>
      </c>
      <c r="K60" s="40" t="s">
        <v>6988</v>
      </c>
      <c r="L60" s="39">
        <v>40520</v>
      </c>
      <c r="M60">
        <v>5</v>
      </c>
      <c r="N60">
        <v>3</v>
      </c>
      <c r="O60">
        <v>111</v>
      </c>
      <c r="P60" s="40" t="s">
        <v>1008</v>
      </c>
      <c r="Q60">
        <v>1</v>
      </c>
      <c r="R60">
        <v>1</v>
      </c>
      <c r="S60">
        <v>2</v>
      </c>
    </row>
    <row r="61" spans="1:19">
      <c r="A61" s="39">
        <v>40689</v>
      </c>
      <c r="B61">
        <v>1</v>
      </c>
      <c r="F61" s="40" t="s">
        <v>6989</v>
      </c>
      <c r="G61">
        <v>2010</v>
      </c>
      <c r="H61">
        <v>1703</v>
      </c>
      <c r="I61" s="40" t="s">
        <v>1005</v>
      </c>
      <c r="J61" s="40" t="s">
        <v>6990</v>
      </c>
      <c r="K61" s="40" t="s">
        <v>6991</v>
      </c>
      <c r="L61" s="39">
        <v>40596</v>
      </c>
      <c r="M61">
        <v>8</v>
      </c>
      <c r="N61">
        <v>0</v>
      </c>
      <c r="O61">
        <v>111</v>
      </c>
      <c r="P61" s="40" t="s">
        <v>1008</v>
      </c>
      <c r="Q61">
        <v>1</v>
      </c>
      <c r="R61">
        <v>1</v>
      </c>
      <c r="S61">
        <v>2</v>
      </c>
    </row>
    <row r="62" spans="1:19">
      <c r="A62" s="39">
        <v>40689</v>
      </c>
      <c r="B62">
        <v>1</v>
      </c>
      <c r="F62" s="40" t="s">
        <v>6992</v>
      </c>
      <c r="G62">
        <v>2010</v>
      </c>
      <c r="H62">
        <v>1703</v>
      </c>
      <c r="I62" s="40" t="s">
        <v>1005</v>
      </c>
      <c r="J62" s="40" t="s">
        <v>6993</v>
      </c>
      <c r="K62" s="40" t="s">
        <v>6994</v>
      </c>
      <c r="L62" s="39">
        <v>40603</v>
      </c>
      <c r="M62">
        <v>7</v>
      </c>
      <c r="N62">
        <v>2</v>
      </c>
      <c r="O62">
        <v>111</v>
      </c>
      <c r="P62" s="40" t="s">
        <v>1008</v>
      </c>
      <c r="Q62">
        <v>1</v>
      </c>
      <c r="R62">
        <v>1</v>
      </c>
      <c r="S62">
        <v>2</v>
      </c>
    </row>
    <row r="63" spans="1:19">
      <c r="A63" s="39">
        <v>40694</v>
      </c>
      <c r="B63">
        <v>1</v>
      </c>
      <c r="F63" s="40" t="s">
        <v>6995</v>
      </c>
      <c r="G63">
        <v>2010</v>
      </c>
      <c r="H63">
        <v>1703</v>
      </c>
      <c r="I63" s="40" t="s">
        <v>1005</v>
      </c>
      <c r="J63" s="40" t="s">
        <v>6996</v>
      </c>
      <c r="K63" s="40" t="s">
        <v>6997</v>
      </c>
      <c r="L63" s="39">
        <v>40604</v>
      </c>
      <c r="M63">
        <v>8</v>
      </c>
      <c r="N63">
        <v>0</v>
      </c>
      <c r="O63">
        <v>111</v>
      </c>
      <c r="P63" s="40" t="s">
        <v>1008</v>
      </c>
      <c r="Q63">
        <v>1</v>
      </c>
      <c r="R63">
        <v>1</v>
      </c>
      <c r="S63">
        <v>2</v>
      </c>
    </row>
    <row r="64" spans="1:19">
      <c r="A64" s="39">
        <v>40700</v>
      </c>
      <c r="B64">
        <v>1</v>
      </c>
      <c r="F64" s="40" t="s">
        <v>6998</v>
      </c>
      <c r="G64">
        <v>2010</v>
      </c>
      <c r="H64">
        <v>1703</v>
      </c>
      <c r="I64" s="40" t="s">
        <v>1005</v>
      </c>
      <c r="J64" s="40" t="s">
        <v>6999</v>
      </c>
      <c r="K64" s="40" t="s">
        <v>7000</v>
      </c>
      <c r="L64" s="39">
        <v>40624</v>
      </c>
      <c r="M64">
        <v>9</v>
      </c>
      <c r="N64">
        <v>0</v>
      </c>
      <c r="O64">
        <v>111</v>
      </c>
      <c r="P64" s="40" t="s">
        <v>1008</v>
      </c>
      <c r="Q64">
        <v>1</v>
      </c>
      <c r="R64">
        <v>1</v>
      </c>
      <c r="S64">
        <v>2</v>
      </c>
    </row>
    <row r="65" spans="1:19">
      <c r="A65" s="39">
        <v>40700</v>
      </c>
      <c r="B65">
        <v>1</v>
      </c>
      <c r="F65" s="40" t="s">
        <v>7001</v>
      </c>
      <c r="G65">
        <v>2010</v>
      </c>
      <c r="H65">
        <v>1703</v>
      </c>
      <c r="I65" s="40" t="s">
        <v>1005</v>
      </c>
      <c r="J65" s="40" t="s">
        <v>7002</v>
      </c>
      <c r="K65" s="40" t="s">
        <v>7003</v>
      </c>
      <c r="L65" s="39">
        <v>40658</v>
      </c>
      <c r="M65">
        <v>9</v>
      </c>
      <c r="N65">
        <v>0</v>
      </c>
      <c r="O65">
        <v>111</v>
      </c>
      <c r="P65" s="40" t="s">
        <v>1008</v>
      </c>
      <c r="Q65">
        <v>1</v>
      </c>
      <c r="R65">
        <v>1</v>
      </c>
      <c r="S65">
        <v>2</v>
      </c>
    </row>
    <row r="66" spans="1:19">
      <c r="A66" s="39">
        <v>40700</v>
      </c>
      <c r="B66">
        <v>1</v>
      </c>
      <c r="F66" s="40" t="s">
        <v>7004</v>
      </c>
      <c r="G66">
        <v>2010</v>
      </c>
      <c r="H66">
        <v>1703</v>
      </c>
      <c r="I66" s="40" t="s">
        <v>1005</v>
      </c>
      <c r="J66" s="40" t="s">
        <v>7005</v>
      </c>
      <c r="K66" s="40" t="s">
        <v>7006</v>
      </c>
      <c r="L66" s="39">
        <v>40602</v>
      </c>
      <c r="M66">
        <v>7</v>
      </c>
      <c r="N66">
        <v>2</v>
      </c>
      <c r="O66">
        <v>111</v>
      </c>
      <c r="P66" s="40" t="s">
        <v>1008</v>
      </c>
      <c r="Q66">
        <v>1</v>
      </c>
      <c r="R66">
        <v>1</v>
      </c>
      <c r="S66">
        <v>2</v>
      </c>
    </row>
    <row r="67" spans="1:19">
      <c r="A67" s="39">
        <v>40700</v>
      </c>
      <c r="B67">
        <v>1</v>
      </c>
      <c r="F67" s="40" t="s">
        <v>7007</v>
      </c>
      <c r="G67">
        <v>2010</v>
      </c>
      <c r="H67">
        <v>1703</v>
      </c>
      <c r="I67" s="40" t="s">
        <v>1005</v>
      </c>
      <c r="J67" s="40" t="s">
        <v>7008</v>
      </c>
      <c r="K67" s="40" t="s">
        <v>7009</v>
      </c>
      <c r="L67" s="39">
        <v>40658</v>
      </c>
      <c r="M67">
        <v>9</v>
      </c>
      <c r="N67">
        <v>0</v>
      </c>
      <c r="O67">
        <v>111</v>
      </c>
      <c r="P67" s="40" t="s">
        <v>1008</v>
      </c>
      <c r="Q67">
        <v>1</v>
      </c>
      <c r="R67">
        <v>1</v>
      </c>
      <c r="S67">
        <v>2</v>
      </c>
    </row>
    <row r="68" spans="1:19">
      <c r="A68" s="39">
        <v>40703</v>
      </c>
      <c r="B68">
        <v>1</v>
      </c>
      <c r="F68" s="40" t="s">
        <v>7010</v>
      </c>
      <c r="G68">
        <v>2010</v>
      </c>
      <c r="H68">
        <v>1703</v>
      </c>
      <c r="I68" s="40" t="s">
        <v>1005</v>
      </c>
      <c r="J68" s="40" t="s">
        <v>7011</v>
      </c>
      <c r="K68" s="40" t="s">
        <v>7012</v>
      </c>
      <c r="L68" s="39">
        <v>40651</v>
      </c>
      <c r="M68">
        <v>8</v>
      </c>
      <c r="N68">
        <v>0</v>
      </c>
      <c r="O68">
        <v>111</v>
      </c>
      <c r="P68" s="40" t="s">
        <v>1008</v>
      </c>
      <c r="Q68">
        <v>3</v>
      </c>
      <c r="R68">
        <v>1</v>
      </c>
      <c r="S68">
        <v>2</v>
      </c>
    </row>
    <row r="69" spans="1:19">
      <c r="A69" s="39">
        <v>40703</v>
      </c>
      <c r="B69">
        <v>1</v>
      </c>
      <c r="F69" s="40" t="s">
        <v>7013</v>
      </c>
      <c r="G69">
        <v>2010</v>
      </c>
      <c r="H69">
        <v>1703</v>
      </c>
      <c r="I69" s="40" t="s">
        <v>1005</v>
      </c>
      <c r="J69" s="40" t="s">
        <v>7014</v>
      </c>
      <c r="K69" s="40" t="s">
        <v>7015</v>
      </c>
      <c r="L69" s="39">
        <v>40602</v>
      </c>
      <c r="M69">
        <v>9</v>
      </c>
      <c r="N69">
        <v>0</v>
      </c>
      <c r="O69">
        <v>111</v>
      </c>
      <c r="P69" s="40" t="s">
        <v>1008</v>
      </c>
      <c r="Q69">
        <v>1</v>
      </c>
      <c r="R69">
        <v>1</v>
      </c>
      <c r="S69">
        <v>2</v>
      </c>
    </row>
    <row r="70" spans="1:19">
      <c r="A70" s="39">
        <v>40703</v>
      </c>
      <c r="B70">
        <v>1</v>
      </c>
      <c r="F70" s="40" t="s">
        <v>7016</v>
      </c>
      <c r="G70">
        <v>2010</v>
      </c>
      <c r="H70">
        <v>1703</v>
      </c>
      <c r="I70" s="40" t="s">
        <v>1005</v>
      </c>
      <c r="J70" s="40" t="s">
        <v>7017</v>
      </c>
      <c r="K70" s="40" t="s">
        <v>7018</v>
      </c>
      <c r="L70" s="39">
        <v>40632</v>
      </c>
      <c r="M70">
        <v>8</v>
      </c>
      <c r="N70">
        <v>0</v>
      </c>
      <c r="O70">
        <v>111</v>
      </c>
      <c r="P70" s="40" t="s">
        <v>1008</v>
      </c>
      <c r="Q70">
        <v>1</v>
      </c>
      <c r="R70">
        <v>1</v>
      </c>
      <c r="S70">
        <v>2</v>
      </c>
    </row>
    <row r="71" spans="1:19">
      <c r="A71" s="39">
        <v>40703</v>
      </c>
      <c r="B71">
        <v>1</v>
      </c>
      <c r="F71" s="40" t="s">
        <v>7019</v>
      </c>
      <c r="G71">
        <v>2010</v>
      </c>
      <c r="H71">
        <v>1703</v>
      </c>
      <c r="I71" s="40" t="s">
        <v>1005</v>
      </c>
      <c r="J71" s="40" t="s">
        <v>7020</v>
      </c>
      <c r="K71" s="40" t="s">
        <v>7021</v>
      </c>
      <c r="L71" s="39">
        <v>40555</v>
      </c>
      <c r="M71">
        <v>6</v>
      </c>
      <c r="N71">
        <v>3</v>
      </c>
      <c r="O71">
        <v>111</v>
      </c>
      <c r="P71" s="40" t="s">
        <v>1008</v>
      </c>
      <c r="Q71">
        <v>1</v>
      </c>
      <c r="R71">
        <v>1</v>
      </c>
      <c r="S71">
        <v>2</v>
      </c>
    </row>
    <row r="72" spans="1:19">
      <c r="A72" s="39">
        <v>40707</v>
      </c>
      <c r="B72">
        <v>1</v>
      </c>
      <c r="F72" s="40" t="s">
        <v>7022</v>
      </c>
      <c r="G72">
        <v>2010</v>
      </c>
      <c r="H72">
        <v>1703</v>
      </c>
      <c r="I72" s="40" t="s">
        <v>1005</v>
      </c>
      <c r="J72" s="40" t="s">
        <v>7023</v>
      </c>
      <c r="K72" s="40" t="s">
        <v>7024</v>
      </c>
      <c r="L72" s="39">
        <v>40519</v>
      </c>
      <c r="M72">
        <v>5</v>
      </c>
      <c r="N72">
        <v>4</v>
      </c>
      <c r="O72">
        <v>111</v>
      </c>
      <c r="P72" s="40" t="s">
        <v>1008</v>
      </c>
      <c r="Q72">
        <v>1</v>
      </c>
      <c r="R72">
        <v>1</v>
      </c>
      <c r="S72">
        <v>2</v>
      </c>
    </row>
    <row r="73" spans="1:19">
      <c r="A73" s="39">
        <v>40710</v>
      </c>
      <c r="B73">
        <v>1</v>
      </c>
      <c r="F73" s="40" t="s">
        <v>7025</v>
      </c>
      <c r="G73">
        <v>2010</v>
      </c>
      <c r="H73">
        <v>1703</v>
      </c>
      <c r="I73" s="40" t="s">
        <v>1005</v>
      </c>
      <c r="J73" s="40" t="s">
        <v>7026</v>
      </c>
      <c r="K73" s="40" t="s">
        <v>7027</v>
      </c>
      <c r="L73" s="39">
        <v>40596</v>
      </c>
      <c r="M73">
        <v>9</v>
      </c>
      <c r="N73">
        <v>0</v>
      </c>
      <c r="O73">
        <v>111</v>
      </c>
      <c r="P73" s="40" t="s">
        <v>1008</v>
      </c>
      <c r="Q73">
        <v>1</v>
      </c>
      <c r="R73">
        <v>1</v>
      </c>
      <c r="S73">
        <v>2</v>
      </c>
    </row>
    <row r="74" spans="1:19">
      <c r="A74" s="39">
        <v>40710</v>
      </c>
      <c r="B74">
        <v>1</v>
      </c>
      <c r="F74" s="40" t="s">
        <v>7028</v>
      </c>
      <c r="G74">
        <v>2010</v>
      </c>
      <c r="H74">
        <v>1703</v>
      </c>
      <c r="I74" s="40" t="s">
        <v>1005</v>
      </c>
      <c r="J74" s="40" t="s">
        <v>7029</v>
      </c>
      <c r="K74" s="40" t="s">
        <v>7030</v>
      </c>
      <c r="L74" s="39">
        <v>40561</v>
      </c>
      <c r="M74">
        <v>9</v>
      </c>
      <c r="N74">
        <v>0</v>
      </c>
      <c r="O74">
        <v>111</v>
      </c>
      <c r="P74" s="40" t="s">
        <v>1008</v>
      </c>
      <c r="Q74">
        <v>1</v>
      </c>
      <c r="R74">
        <v>1</v>
      </c>
      <c r="S74">
        <v>2</v>
      </c>
    </row>
    <row r="75" spans="1:19">
      <c r="A75" s="39">
        <v>40710</v>
      </c>
      <c r="B75">
        <v>1</v>
      </c>
      <c r="F75" s="40" t="s">
        <v>7031</v>
      </c>
      <c r="G75">
        <v>2010</v>
      </c>
      <c r="H75">
        <v>1703</v>
      </c>
      <c r="I75" s="40" t="s">
        <v>1005</v>
      </c>
      <c r="J75" s="40" t="s">
        <v>7032</v>
      </c>
      <c r="K75" s="40" t="s">
        <v>7033</v>
      </c>
      <c r="L75" s="39">
        <v>40651</v>
      </c>
      <c r="M75">
        <v>9</v>
      </c>
      <c r="N75">
        <v>0</v>
      </c>
      <c r="O75">
        <v>111</v>
      </c>
      <c r="P75" s="40" t="s">
        <v>1008</v>
      </c>
      <c r="Q75">
        <v>3</v>
      </c>
      <c r="R75">
        <v>1</v>
      </c>
      <c r="S75">
        <v>2</v>
      </c>
    </row>
    <row r="76" spans="1:19">
      <c r="A76" s="39">
        <v>40714</v>
      </c>
      <c r="B76">
        <v>1</v>
      </c>
      <c r="F76" s="40" t="s">
        <v>7034</v>
      </c>
      <c r="G76">
        <v>2010</v>
      </c>
      <c r="H76">
        <v>1703</v>
      </c>
      <c r="I76" s="40" t="s">
        <v>1005</v>
      </c>
      <c r="J76" s="40" t="s">
        <v>7035</v>
      </c>
      <c r="K76" s="40" t="s">
        <v>7036</v>
      </c>
      <c r="L76" s="39">
        <v>40631</v>
      </c>
      <c r="M76">
        <v>5</v>
      </c>
      <c r="N76">
        <v>4</v>
      </c>
      <c r="O76">
        <v>111</v>
      </c>
      <c r="P76" s="40" t="s">
        <v>1008</v>
      </c>
      <c r="Q76">
        <v>1</v>
      </c>
      <c r="R76">
        <v>1</v>
      </c>
      <c r="S76">
        <v>2</v>
      </c>
    </row>
    <row r="77" spans="1:19">
      <c r="A77" s="39">
        <v>40714</v>
      </c>
      <c r="B77">
        <v>1</v>
      </c>
      <c r="F77" s="40" t="s">
        <v>7037</v>
      </c>
      <c r="G77">
        <v>2010</v>
      </c>
      <c r="H77">
        <v>1703</v>
      </c>
      <c r="I77" s="40" t="s">
        <v>1005</v>
      </c>
      <c r="J77" s="40" t="s">
        <v>7038</v>
      </c>
      <c r="K77" s="40" t="s">
        <v>7039</v>
      </c>
      <c r="L77" s="39">
        <v>40624</v>
      </c>
      <c r="M77">
        <v>9</v>
      </c>
      <c r="N77">
        <v>0</v>
      </c>
      <c r="O77">
        <v>111</v>
      </c>
      <c r="P77" s="40" t="s">
        <v>1008</v>
      </c>
      <c r="Q77">
        <v>1</v>
      </c>
      <c r="R77">
        <v>1</v>
      </c>
      <c r="S77">
        <v>2</v>
      </c>
    </row>
    <row r="78" spans="1:19">
      <c r="A78" s="39">
        <v>40714</v>
      </c>
      <c r="B78">
        <v>1</v>
      </c>
      <c r="F78" s="40" t="s">
        <v>7040</v>
      </c>
      <c r="G78">
        <v>2010</v>
      </c>
      <c r="H78">
        <v>1703</v>
      </c>
      <c r="I78" s="40" t="s">
        <v>1005</v>
      </c>
      <c r="J78" s="40" t="s">
        <v>7041</v>
      </c>
      <c r="K78" s="40" t="s">
        <v>7042</v>
      </c>
      <c r="L78" s="39">
        <v>40625</v>
      </c>
      <c r="M78">
        <v>5</v>
      </c>
      <c r="N78">
        <v>4</v>
      </c>
      <c r="O78">
        <v>111</v>
      </c>
      <c r="P78" s="40" t="s">
        <v>1008</v>
      </c>
      <c r="Q78">
        <v>2</v>
      </c>
      <c r="R78">
        <v>1</v>
      </c>
      <c r="S78">
        <v>1</v>
      </c>
    </row>
    <row r="79" spans="1:19">
      <c r="A79" s="39">
        <v>40717</v>
      </c>
      <c r="B79">
        <v>1</v>
      </c>
      <c r="F79" s="40" t="s">
        <v>7043</v>
      </c>
      <c r="G79">
        <v>2010</v>
      </c>
      <c r="H79">
        <v>1703</v>
      </c>
      <c r="I79" s="40" t="s">
        <v>1005</v>
      </c>
      <c r="J79" s="40" t="s">
        <v>7044</v>
      </c>
      <c r="K79" s="40" t="s">
        <v>7045</v>
      </c>
      <c r="L79" s="39">
        <v>40630</v>
      </c>
      <c r="M79">
        <v>5</v>
      </c>
      <c r="N79">
        <v>4</v>
      </c>
      <c r="O79">
        <v>111</v>
      </c>
      <c r="P79" s="40" t="s">
        <v>1008</v>
      </c>
      <c r="Q79">
        <v>2</v>
      </c>
      <c r="R79">
        <v>1</v>
      </c>
      <c r="S79">
        <v>1</v>
      </c>
    </row>
    <row r="80" spans="1:19">
      <c r="A80" s="39">
        <v>40717</v>
      </c>
      <c r="B80">
        <v>1</v>
      </c>
      <c r="F80" s="40" t="s">
        <v>7046</v>
      </c>
      <c r="G80">
        <v>2010</v>
      </c>
      <c r="H80">
        <v>1703</v>
      </c>
      <c r="I80" s="40" t="s">
        <v>1005</v>
      </c>
      <c r="J80" s="40" t="s">
        <v>7047</v>
      </c>
      <c r="K80" s="40" t="s">
        <v>7048</v>
      </c>
      <c r="L80" s="39">
        <v>40604</v>
      </c>
      <c r="M80">
        <v>5</v>
      </c>
      <c r="N80">
        <v>4</v>
      </c>
      <c r="O80">
        <v>111</v>
      </c>
      <c r="P80" s="40" t="s">
        <v>1008</v>
      </c>
      <c r="Q80">
        <v>2</v>
      </c>
      <c r="R80">
        <v>1</v>
      </c>
      <c r="S80">
        <v>1</v>
      </c>
    </row>
    <row r="81" spans="1:19">
      <c r="A81" s="39">
        <v>40717</v>
      </c>
      <c r="B81">
        <v>1</v>
      </c>
      <c r="F81" s="40" t="s">
        <v>7049</v>
      </c>
      <c r="G81">
        <v>2010</v>
      </c>
      <c r="H81">
        <v>1703</v>
      </c>
      <c r="I81" s="40" t="s">
        <v>1005</v>
      </c>
      <c r="J81" s="40" t="s">
        <v>7050</v>
      </c>
      <c r="K81" s="40" t="s">
        <v>7051</v>
      </c>
      <c r="L81" s="39">
        <v>40632</v>
      </c>
      <c r="M81">
        <v>5</v>
      </c>
      <c r="N81">
        <v>4</v>
      </c>
      <c r="O81">
        <v>111</v>
      </c>
      <c r="P81" s="40" t="s">
        <v>1008</v>
      </c>
      <c r="Q81">
        <v>1</v>
      </c>
      <c r="R81">
        <v>1</v>
      </c>
      <c r="S81">
        <v>2</v>
      </c>
    </row>
    <row r="82" spans="1:19">
      <c r="A82" s="39">
        <v>40717</v>
      </c>
      <c r="B82">
        <v>1</v>
      </c>
      <c r="F82" s="40" t="s">
        <v>7052</v>
      </c>
      <c r="G82">
        <v>2010</v>
      </c>
      <c r="H82">
        <v>1703</v>
      </c>
      <c r="I82" s="40" t="s">
        <v>1005</v>
      </c>
      <c r="J82" s="40" t="s">
        <v>7053</v>
      </c>
      <c r="K82" s="40" t="s">
        <v>7054</v>
      </c>
      <c r="L82" s="39">
        <v>40659</v>
      </c>
      <c r="M82">
        <v>6</v>
      </c>
      <c r="N82">
        <v>3</v>
      </c>
      <c r="O82">
        <v>111</v>
      </c>
      <c r="P82" s="40" t="s">
        <v>1008</v>
      </c>
      <c r="Q82">
        <v>1</v>
      </c>
      <c r="R82">
        <v>1</v>
      </c>
      <c r="S82">
        <v>2</v>
      </c>
    </row>
    <row r="83" spans="1:19">
      <c r="A83" s="39">
        <v>40717</v>
      </c>
      <c r="B83">
        <v>1</v>
      </c>
      <c r="F83" s="40" t="s">
        <v>7055</v>
      </c>
      <c r="G83">
        <v>2010</v>
      </c>
      <c r="H83">
        <v>1703</v>
      </c>
      <c r="I83" s="40" t="s">
        <v>1005</v>
      </c>
      <c r="J83" s="40" t="s">
        <v>7056</v>
      </c>
      <c r="K83" s="40" t="s">
        <v>7057</v>
      </c>
      <c r="L83" s="39">
        <v>40561</v>
      </c>
      <c r="M83">
        <v>5</v>
      </c>
      <c r="N83">
        <v>4</v>
      </c>
      <c r="O83">
        <v>111</v>
      </c>
      <c r="P83" s="40" t="s">
        <v>1008</v>
      </c>
      <c r="Q83">
        <v>1</v>
      </c>
      <c r="R83">
        <v>1</v>
      </c>
      <c r="S83">
        <v>2</v>
      </c>
    </row>
    <row r="84" spans="1:19">
      <c r="A84" s="39">
        <v>40721</v>
      </c>
      <c r="B84">
        <v>1</v>
      </c>
      <c r="F84" s="40" t="s">
        <v>7058</v>
      </c>
      <c r="G84">
        <v>2010</v>
      </c>
      <c r="H84">
        <v>1703</v>
      </c>
      <c r="I84" s="40" t="s">
        <v>1005</v>
      </c>
      <c r="J84" s="40" t="s">
        <v>7059</v>
      </c>
      <c r="K84" s="40" t="s">
        <v>7060</v>
      </c>
      <c r="L84" s="39">
        <v>40554</v>
      </c>
      <c r="M84">
        <v>9</v>
      </c>
      <c r="N84">
        <v>0</v>
      </c>
      <c r="O84">
        <v>111</v>
      </c>
      <c r="P84" s="40" t="s">
        <v>1008</v>
      </c>
      <c r="Q84">
        <v>1</v>
      </c>
      <c r="R84">
        <v>1</v>
      </c>
      <c r="S84">
        <v>2</v>
      </c>
    </row>
    <row r="85" spans="1:19">
      <c r="A85" s="39">
        <v>40721</v>
      </c>
      <c r="B85">
        <v>1</v>
      </c>
      <c r="D85" s="40" t="s">
        <v>7061</v>
      </c>
      <c r="F85" s="40" t="s">
        <v>7062</v>
      </c>
      <c r="G85">
        <v>2010</v>
      </c>
      <c r="H85">
        <v>1703</v>
      </c>
      <c r="I85" s="40" t="s">
        <v>1005</v>
      </c>
      <c r="J85" s="40" t="s">
        <v>7063</v>
      </c>
      <c r="K85" s="40" t="s">
        <v>7064</v>
      </c>
      <c r="L85" s="39">
        <v>40630</v>
      </c>
      <c r="M85">
        <v>5</v>
      </c>
      <c r="N85">
        <v>4</v>
      </c>
      <c r="O85">
        <v>111</v>
      </c>
      <c r="P85" s="40" t="s">
        <v>1008</v>
      </c>
      <c r="Q85">
        <v>1</v>
      </c>
      <c r="R85">
        <v>1</v>
      </c>
      <c r="S85">
        <v>2</v>
      </c>
    </row>
    <row r="86" spans="1:19">
      <c r="A86" s="39">
        <v>40631</v>
      </c>
      <c r="B86">
        <v>1</v>
      </c>
      <c r="D86" s="40" t="s">
        <v>7065</v>
      </c>
      <c r="E86" s="40" t="s">
        <v>7066</v>
      </c>
      <c r="F86" s="40" t="s">
        <v>7067</v>
      </c>
      <c r="G86">
        <v>2010</v>
      </c>
      <c r="H86">
        <v>1703</v>
      </c>
      <c r="I86" s="40" t="s">
        <v>1005</v>
      </c>
      <c r="J86" s="40" t="s">
        <v>7068</v>
      </c>
      <c r="K86" s="40" t="s">
        <v>7069</v>
      </c>
      <c r="M86">
        <v>9</v>
      </c>
      <c r="N86">
        <v>0</v>
      </c>
      <c r="O86">
        <v>111</v>
      </c>
      <c r="P86" s="40" t="s">
        <v>1008</v>
      </c>
      <c r="Q86">
        <v>1</v>
      </c>
      <c r="R86">
        <v>1</v>
      </c>
      <c r="S86">
        <v>2</v>
      </c>
    </row>
    <row r="87" spans="1:19">
      <c r="A87" s="39">
        <v>40525</v>
      </c>
      <c r="B87">
        <v>5</v>
      </c>
      <c r="D87" s="40" t="s">
        <v>7070</v>
      </c>
      <c r="E87" s="40" t="s">
        <v>7071</v>
      </c>
      <c r="F87" s="40" t="s">
        <v>7072</v>
      </c>
      <c r="G87">
        <v>2010</v>
      </c>
      <c r="H87">
        <v>1703</v>
      </c>
      <c r="I87" s="40" t="s">
        <v>1005</v>
      </c>
      <c r="J87" s="40" t="s">
        <v>7073</v>
      </c>
      <c r="K87" s="40" t="s">
        <v>7074</v>
      </c>
      <c r="L87" s="39">
        <v>40490</v>
      </c>
      <c r="M87">
        <v>4</v>
      </c>
      <c r="N87">
        <v>4</v>
      </c>
      <c r="O87">
        <v>111</v>
      </c>
      <c r="P87" s="40" t="s">
        <v>1008</v>
      </c>
      <c r="Q87">
        <v>8</v>
      </c>
      <c r="R87">
        <v>1</v>
      </c>
    </row>
    <row r="88" spans="1:19">
      <c r="A88" s="39">
        <v>40707</v>
      </c>
      <c r="B88">
        <v>5</v>
      </c>
      <c r="F88" s="40" t="s">
        <v>7075</v>
      </c>
      <c r="G88">
        <v>2010</v>
      </c>
      <c r="H88">
        <v>1703</v>
      </c>
      <c r="I88" s="40" t="s">
        <v>1005</v>
      </c>
      <c r="J88" s="40" t="s">
        <v>7076</v>
      </c>
      <c r="K88" s="40" t="s">
        <v>7077</v>
      </c>
      <c r="L88" s="39">
        <v>40492</v>
      </c>
      <c r="M88">
        <v>4</v>
      </c>
      <c r="N88">
        <v>4</v>
      </c>
      <c r="O88">
        <v>111</v>
      </c>
      <c r="P88" s="40" t="s">
        <v>1008</v>
      </c>
      <c r="Q88">
        <v>8</v>
      </c>
      <c r="R88">
        <v>1</v>
      </c>
    </row>
    <row r="89" spans="1:19">
      <c r="A89" s="39">
        <v>40717</v>
      </c>
      <c r="B89">
        <v>7</v>
      </c>
      <c r="F89" s="40" t="s">
        <v>7078</v>
      </c>
      <c r="G89">
        <v>2010</v>
      </c>
      <c r="H89">
        <v>1703</v>
      </c>
      <c r="I89" s="40" t="s">
        <v>1005</v>
      </c>
      <c r="J89" s="40" t="s">
        <v>7079</v>
      </c>
      <c r="K89" s="40" t="s">
        <v>7080</v>
      </c>
      <c r="L89" s="39">
        <v>40597</v>
      </c>
      <c r="M89">
        <v>5</v>
      </c>
      <c r="N89">
        <v>4</v>
      </c>
      <c r="O89">
        <v>111</v>
      </c>
      <c r="P89" s="40" t="s">
        <v>1008</v>
      </c>
      <c r="Q89">
        <v>2</v>
      </c>
      <c r="R89">
        <v>1</v>
      </c>
      <c r="S89">
        <v>1</v>
      </c>
    </row>
    <row r="90" spans="1:19">
      <c r="A90" s="39">
        <v>40721</v>
      </c>
      <c r="B90">
        <v>7</v>
      </c>
      <c r="F90" s="40" t="s">
        <v>7081</v>
      </c>
      <c r="G90">
        <v>2010</v>
      </c>
      <c r="H90">
        <v>1703</v>
      </c>
      <c r="I90" s="40" t="s">
        <v>1005</v>
      </c>
      <c r="J90" s="40" t="s">
        <v>7082</v>
      </c>
      <c r="K90" s="40" t="s">
        <v>7083</v>
      </c>
      <c r="L90" s="39">
        <v>40554</v>
      </c>
      <c r="M90">
        <v>6</v>
      </c>
      <c r="N90">
        <v>3</v>
      </c>
      <c r="O90">
        <v>111</v>
      </c>
      <c r="P90" s="40" t="s">
        <v>1008</v>
      </c>
      <c r="Q90">
        <v>4</v>
      </c>
      <c r="R90">
        <v>1</v>
      </c>
      <c r="S90">
        <v>2</v>
      </c>
    </row>
    <row r="91" spans="1:19">
      <c r="A91" s="39"/>
      <c r="D91" s="40"/>
      <c r="E91" s="40"/>
      <c r="F91" s="40"/>
      <c r="I91" s="40"/>
      <c r="J91" s="40"/>
      <c r="K91" s="40"/>
      <c r="P91" s="40"/>
    </row>
    <row r="92" spans="1:19">
      <c r="A92" s="39"/>
      <c r="D92" s="40"/>
      <c r="E92" s="40"/>
      <c r="F92" s="40"/>
      <c r="I92" s="40"/>
      <c r="J92" s="40"/>
      <c r="K92" s="40"/>
      <c r="P92" s="40"/>
    </row>
    <row r="93" spans="1:19">
      <c r="A93" s="39">
        <v>40553</v>
      </c>
      <c r="B93">
        <v>2</v>
      </c>
      <c r="D93" s="40" t="s">
        <v>7084</v>
      </c>
      <c r="E93" s="40" t="s">
        <v>7085</v>
      </c>
      <c r="F93" s="40" t="s">
        <v>7086</v>
      </c>
      <c r="G93">
        <v>2010</v>
      </c>
      <c r="H93">
        <v>1703</v>
      </c>
      <c r="I93" s="40" t="s">
        <v>1005</v>
      </c>
      <c r="J93" s="40" t="s">
        <v>7087</v>
      </c>
      <c r="K93" s="40" t="s">
        <v>7088</v>
      </c>
      <c r="M93">
        <v>8</v>
      </c>
      <c r="N93">
        <v>0</v>
      </c>
      <c r="O93">
        <v>111</v>
      </c>
      <c r="P93" s="40" t="s">
        <v>1008</v>
      </c>
      <c r="Q93">
        <v>1</v>
      </c>
      <c r="R93">
        <v>1</v>
      </c>
      <c r="S93">
        <v>2</v>
      </c>
    </row>
    <row r="94" spans="1:19">
      <c r="A94" s="39">
        <v>40567</v>
      </c>
      <c r="B94">
        <v>2</v>
      </c>
      <c r="D94" s="40" t="s">
        <v>7089</v>
      </c>
      <c r="E94" s="40" t="s">
        <v>7090</v>
      </c>
      <c r="F94" s="40" t="s">
        <v>7091</v>
      </c>
      <c r="G94">
        <v>2010</v>
      </c>
      <c r="H94">
        <v>1703</v>
      </c>
      <c r="I94" s="40" t="s">
        <v>1005</v>
      </c>
      <c r="J94" s="40" t="s">
        <v>7092</v>
      </c>
      <c r="K94" s="40" t="s">
        <v>7093</v>
      </c>
      <c r="M94">
        <v>9</v>
      </c>
      <c r="N94">
        <v>0</v>
      </c>
      <c r="O94">
        <v>111</v>
      </c>
      <c r="P94" s="40" t="s">
        <v>1008</v>
      </c>
      <c r="Q94">
        <v>1</v>
      </c>
      <c r="R94">
        <v>1</v>
      </c>
      <c r="S94">
        <v>2</v>
      </c>
    </row>
    <row r="95" spans="1:19">
      <c r="A95" s="39">
        <v>40623</v>
      </c>
      <c r="B95">
        <v>2</v>
      </c>
      <c r="F95" s="40" t="s">
        <v>7094</v>
      </c>
      <c r="G95">
        <v>2010</v>
      </c>
      <c r="H95">
        <v>1703</v>
      </c>
      <c r="I95" s="40" t="s">
        <v>1005</v>
      </c>
      <c r="J95" s="40" t="s">
        <v>7095</v>
      </c>
      <c r="K95" s="40" t="s">
        <v>7096</v>
      </c>
      <c r="M95">
        <v>9</v>
      </c>
      <c r="N95">
        <v>0</v>
      </c>
      <c r="O95">
        <v>111</v>
      </c>
      <c r="P95" s="40" t="s">
        <v>1008</v>
      </c>
      <c r="Q95">
        <v>1</v>
      </c>
      <c r="R95">
        <v>1</v>
      </c>
      <c r="S95">
        <v>2</v>
      </c>
    </row>
    <row r="96" spans="1:19">
      <c r="A96" s="39">
        <v>40665</v>
      </c>
      <c r="B96">
        <v>2</v>
      </c>
      <c r="F96" s="40" t="s">
        <v>7097</v>
      </c>
      <c r="G96">
        <v>2010</v>
      </c>
      <c r="H96">
        <v>1703</v>
      </c>
      <c r="I96" s="40" t="s">
        <v>1005</v>
      </c>
      <c r="J96" s="40" t="s">
        <v>7098</v>
      </c>
      <c r="K96" s="40" t="s">
        <v>7099</v>
      </c>
      <c r="M96">
        <v>9</v>
      </c>
      <c r="N96">
        <v>0</v>
      </c>
      <c r="O96">
        <v>111</v>
      </c>
      <c r="P96" s="40" t="s">
        <v>1008</v>
      </c>
      <c r="Q96">
        <v>1</v>
      </c>
      <c r="R96">
        <v>1</v>
      </c>
      <c r="S96">
        <v>2</v>
      </c>
    </row>
    <row r="97" spans="1:19">
      <c r="A97" s="39">
        <v>40721</v>
      </c>
      <c r="B97">
        <v>2</v>
      </c>
      <c r="F97" s="40" t="s">
        <v>7100</v>
      </c>
      <c r="G97">
        <v>2010</v>
      </c>
      <c r="H97">
        <v>1703</v>
      </c>
      <c r="I97" s="40" t="s">
        <v>1005</v>
      </c>
      <c r="J97" s="40" t="s">
        <v>1444</v>
      </c>
      <c r="K97" s="40" t="s">
        <v>1445</v>
      </c>
      <c r="M97">
        <v>5</v>
      </c>
      <c r="N97">
        <v>3</v>
      </c>
      <c r="O97">
        <v>111</v>
      </c>
      <c r="P97" s="40" t="s">
        <v>1008</v>
      </c>
      <c r="Q97">
        <v>1</v>
      </c>
      <c r="R97">
        <v>1</v>
      </c>
      <c r="S97">
        <v>2</v>
      </c>
    </row>
    <row r="98" spans="1:19">
      <c r="A98" s="39">
        <v>40731</v>
      </c>
      <c r="B98">
        <v>2</v>
      </c>
      <c r="F98" s="40" t="s">
        <v>7101</v>
      </c>
      <c r="G98">
        <v>2010</v>
      </c>
      <c r="H98">
        <v>1703</v>
      </c>
      <c r="I98" s="40" t="s">
        <v>1005</v>
      </c>
      <c r="J98" s="40" t="s">
        <v>7102</v>
      </c>
      <c r="K98" s="40" t="s">
        <v>7103</v>
      </c>
      <c r="M98">
        <v>5</v>
      </c>
      <c r="N98">
        <v>4</v>
      </c>
      <c r="O98">
        <v>111</v>
      </c>
      <c r="P98" s="40" t="s">
        <v>1008</v>
      </c>
      <c r="Q98">
        <v>1</v>
      </c>
      <c r="R98">
        <v>1</v>
      </c>
      <c r="S98">
        <v>2</v>
      </c>
    </row>
    <row r="101" spans="1:19" ht="42">
      <c r="A101" s="132">
        <v>40511</v>
      </c>
      <c r="B101" s="143">
        <v>34608</v>
      </c>
      <c r="C101" s="134" t="s">
        <v>7104</v>
      </c>
      <c r="D101" s="133" t="s">
        <v>3560</v>
      </c>
      <c r="E101" s="133" t="s">
        <v>7105</v>
      </c>
    </row>
    <row r="102" spans="1:19">
      <c r="A102" s="132">
        <v>40483</v>
      </c>
      <c r="B102" s="133" t="s">
        <v>7106</v>
      </c>
      <c r="C102" s="134" t="s">
        <v>7107</v>
      </c>
      <c r="D102" s="133" t="s">
        <v>3560</v>
      </c>
      <c r="E102" s="133" t="s">
        <v>7105</v>
      </c>
    </row>
    <row r="105" spans="1:19">
      <c r="A105" s="135" t="s">
        <v>35</v>
      </c>
      <c r="B105" s="136" t="s">
        <v>36</v>
      </c>
      <c r="C105" s="136" t="s">
        <v>37</v>
      </c>
      <c r="D105" s="136" t="s">
        <v>38</v>
      </c>
      <c r="E105" s="136" t="s">
        <v>39</v>
      </c>
      <c r="F105" s="136" t="s">
        <v>40</v>
      </c>
      <c r="G105" s="135" t="s">
        <v>41</v>
      </c>
      <c r="H105" s="135" t="s">
        <v>42</v>
      </c>
      <c r="I105" s="135" t="s">
        <v>43</v>
      </c>
      <c r="J105" s="136" t="s">
        <v>44</v>
      </c>
    </row>
    <row r="106" spans="1:19" ht="60">
      <c r="A106" s="137">
        <f>HYPERLINK("http://www.westlaw.com/Find/Default.wl?rs=dfa1.0&amp;vr=2.0&amp;FindType=Y&amp;SerialNum=2025430772",156)</f>
        <v>156</v>
      </c>
      <c r="B106" s="138" t="s">
        <v>6646</v>
      </c>
      <c r="C106" s="138" t="s">
        <v>6647</v>
      </c>
      <c r="D106" s="139"/>
      <c r="E106" s="139"/>
      <c r="F106" s="139" t="s">
        <v>78</v>
      </c>
      <c r="G106" s="139" t="s">
        <v>167</v>
      </c>
      <c r="H106" s="139" t="s">
        <v>79</v>
      </c>
      <c r="I106" s="139" t="s">
        <v>49</v>
      </c>
      <c r="J106" s="139"/>
    </row>
    <row r="107" spans="1:19" ht="168">
      <c r="A107" s="137">
        <f>HYPERLINK("http://www.westlaw.com/Find/Default.wl?rs=dfa1.0&amp;vr=2.0&amp;DB=708&amp;FindType=Y&amp;SerialNum=2025498891",14)</f>
        <v>14</v>
      </c>
      <c r="B107" s="138" t="s">
        <v>6454</v>
      </c>
      <c r="C107" s="138" t="s">
        <v>6455</v>
      </c>
      <c r="D107" s="139"/>
      <c r="E107" s="139"/>
      <c r="F107" s="139" t="s">
        <v>78</v>
      </c>
      <c r="G107" s="139" t="s">
        <v>79</v>
      </c>
      <c r="H107" s="139" t="s">
        <v>100</v>
      </c>
      <c r="I107" s="139" t="s">
        <v>49</v>
      </c>
      <c r="J107" s="139"/>
    </row>
    <row r="108" spans="1:19" ht="180">
      <c r="A108" s="137">
        <f>HYPERLINK("http://www.westlaw.com/Find/Default.wl?rs=dfa1.0&amp;vr=2.0&amp;DB=708&amp;FindType=Y&amp;SerialNum=2025432402",17)</f>
        <v>17</v>
      </c>
      <c r="B108" s="138" t="s">
        <v>6456</v>
      </c>
      <c r="C108" s="138" t="s">
        <v>6457</v>
      </c>
      <c r="D108" s="139"/>
      <c r="E108" s="139"/>
      <c r="F108" s="139" t="s">
        <v>78</v>
      </c>
      <c r="G108" s="139" t="s">
        <v>79</v>
      </c>
      <c r="H108" s="139" t="s">
        <v>100</v>
      </c>
      <c r="I108" s="139" t="s">
        <v>49</v>
      </c>
      <c r="J108" s="139"/>
    </row>
    <row r="109" spans="1:19" ht="156">
      <c r="A109" s="137">
        <f>HYPERLINK("http://www.westlaw.com/Find/Default.wl?rs=dfa1.0&amp;vr=2.0&amp;DB=708&amp;FindType=Y&amp;SerialNum=2024730626",32)</f>
        <v>32</v>
      </c>
      <c r="B109" s="138" t="s">
        <v>6458</v>
      </c>
      <c r="C109" s="138" t="s">
        <v>6459</v>
      </c>
      <c r="D109" s="139"/>
      <c r="E109" s="139"/>
      <c r="F109" s="139" t="s">
        <v>78</v>
      </c>
      <c r="G109" s="139" t="s">
        <v>79</v>
      </c>
      <c r="H109" s="139" t="s">
        <v>79</v>
      </c>
      <c r="I109" s="139" t="s">
        <v>49</v>
      </c>
      <c r="J109" s="139"/>
    </row>
    <row r="110" spans="1:19" ht="156">
      <c r="A110" s="137">
        <f>HYPERLINK("http://www.westlaw.com/Find/Default.wl?rs=dfa1.0&amp;vr=2.0&amp;DB=708&amp;FindType=Y&amp;SerialNum=2024695210",34)</f>
        <v>34</v>
      </c>
      <c r="B110" s="138" t="s">
        <v>6460</v>
      </c>
      <c r="C110" s="138" t="s">
        <v>6461</v>
      </c>
      <c r="D110" s="139"/>
      <c r="E110" s="139"/>
      <c r="F110" s="139" t="s">
        <v>78</v>
      </c>
      <c r="G110" s="139" t="s">
        <v>79</v>
      </c>
      <c r="H110" s="139" t="s">
        <v>633</v>
      </c>
      <c r="I110" s="139" t="s">
        <v>49</v>
      </c>
      <c r="J110" s="139"/>
    </row>
    <row r="111" spans="1:19" ht="180">
      <c r="A111" s="137">
        <f>HYPERLINK("http://www.westlaw.com/Find/Default.wl?rs=dfa1.0&amp;vr=2.0&amp;DB=708&amp;FindType=Y&amp;SerialNum=2024411524",39)</f>
        <v>39</v>
      </c>
      <c r="B111" s="138" t="s">
        <v>6462</v>
      </c>
      <c r="C111" s="138" t="s">
        <v>6463</v>
      </c>
      <c r="D111" s="139"/>
      <c r="E111" s="139"/>
      <c r="F111" s="139" t="s">
        <v>78</v>
      </c>
      <c r="G111" s="139" t="s">
        <v>79</v>
      </c>
      <c r="H111" s="139" t="s">
        <v>111</v>
      </c>
      <c r="I111" s="139" t="s">
        <v>49</v>
      </c>
      <c r="J111" s="139"/>
    </row>
    <row r="112" spans="1:19" ht="72">
      <c r="A112" s="137">
        <f>HYPERLINK("http://www.westlaw.com/Find/Default.wl?rs=dfa1.0&amp;vr=2.0&amp;FindType=Y&amp;SerialNum=2026221750",47)</f>
        <v>47</v>
      </c>
      <c r="B112" s="138" t="s">
        <v>6464</v>
      </c>
      <c r="C112" s="138" t="s">
        <v>6465</v>
      </c>
      <c r="D112" s="139"/>
      <c r="E112" s="139"/>
      <c r="F112" s="139" t="s">
        <v>78</v>
      </c>
      <c r="G112" s="139" t="s">
        <v>167</v>
      </c>
      <c r="H112" s="139" t="s">
        <v>79</v>
      </c>
      <c r="I112" s="139" t="s">
        <v>49</v>
      </c>
      <c r="J112" s="139"/>
    </row>
    <row r="113" spans="1:10" ht="72">
      <c r="A113" s="137">
        <f>HYPERLINK("http://www.westlaw.com/Find/Default.wl?rs=dfa1.0&amp;vr=2.0&amp;FindType=Y&amp;SerialNum=2026212961",49)</f>
        <v>49</v>
      </c>
      <c r="B113" s="138" t="s">
        <v>790</v>
      </c>
      <c r="C113" s="138" t="s">
        <v>6466</v>
      </c>
      <c r="D113" s="139"/>
      <c r="E113" s="139"/>
      <c r="F113" s="139" t="s">
        <v>78</v>
      </c>
      <c r="G113" s="139" t="s">
        <v>167</v>
      </c>
      <c r="H113" s="139" t="s">
        <v>100</v>
      </c>
      <c r="I113" s="139" t="s">
        <v>49</v>
      </c>
      <c r="J113" s="139"/>
    </row>
    <row r="114" spans="1:10" ht="60">
      <c r="A114" s="137">
        <f>HYPERLINK("http://www.westlaw.com/Find/Default.wl?rs=dfa1.0&amp;vr=2.0&amp;FindType=Y&amp;SerialNum=2025967966",50)</f>
        <v>50</v>
      </c>
      <c r="B114" s="138" t="s">
        <v>886</v>
      </c>
      <c r="C114" s="138" t="s">
        <v>6467</v>
      </c>
      <c r="D114" s="139"/>
      <c r="E114" s="139"/>
      <c r="F114" s="139" t="s">
        <v>78</v>
      </c>
      <c r="G114" s="139" t="s">
        <v>167</v>
      </c>
      <c r="H114" s="139" t="s">
        <v>100</v>
      </c>
      <c r="I114" s="139" t="s">
        <v>49</v>
      </c>
      <c r="J114" s="139"/>
    </row>
    <row r="115" spans="1:10" ht="60">
      <c r="A115" s="137">
        <f>HYPERLINK("http://www.westlaw.com/Find/Default.wl?rs=dfa1.0&amp;vr=2.0&amp;FindType=Y&amp;SerialNum=2025968100",51)</f>
        <v>51</v>
      </c>
      <c r="B115" s="138" t="s">
        <v>6468</v>
      </c>
      <c r="C115" s="138" t="s">
        <v>6469</v>
      </c>
      <c r="D115" s="139"/>
      <c r="E115" s="139"/>
      <c r="F115" s="139" t="s">
        <v>78</v>
      </c>
      <c r="G115" s="139" t="s">
        <v>167</v>
      </c>
      <c r="H115" s="139" t="s">
        <v>79</v>
      </c>
      <c r="I115" s="139" t="s">
        <v>49</v>
      </c>
      <c r="J115" s="139"/>
    </row>
    <row r="116" spans="1:10" ht="60">
      <c r="A116" s="137">
        <f>HYPERLINK("http://www.westlaw.com/Find/Default.wl?rs=dfa1.0&amp;vr=2.0&amp;FindType=Y&amp;SerialNum=2025929141",52)</f>
        <v>52</v>
      </c>
      <c r="B116" s="138" t="s">
        <v>6470</v>
      </c>
      <c r="C116" s="138" t="s">
        <v>6471</v>
      </c>
      <c r="D116" s="139"/>
      <c r="E116" s="139"/>
      <c r="F116" s="139" t="s">
        <v>78</v>
      </c>
      <c r="G116" s="139" t="s">
        <v>167</v>
      </c>
      <c r="H116" s="139" t="s">
        <v>79</v>
      </c>
      <c r="I116" s="139" t="s">
        <v>49</v>
      </c>
      <c r="J116" s="139"/>
    </row>
    <row r="117" spans="1:10" ht="72">
      <c r="A117" s="137">
        <f>HYPERLINK("http://www.westlaw.com/Find/Default.wl?rs=dfa1.0&amp;vr=2.0&amp;DB=506&amp;FindType=Y&amp;SerialNum=2025898126",53)</f>
        <v>53</v>
      </c>
      <c r="B117" s="138" t="s">
        <v>6472</v>
      </c>
      <c r="C117" s="138" t="s">
        <v>6473</v>
      </c>
      <c r="D117" s="139"/>
      <c r="E117" s="139"/>
      <c r="F117" s="139" t="s">
        <v>78</v>
      </c>
      <c r="G117" s="139" t="s">
        <v>167</v>
      </c>
      <c r="H117" s="139" t="s">
        <v>47</v>
      </c>
      <c r="I117" s="139" t="s">
        <v>49</v>
      </c>
      <c r="J117" s="139"/>
    </row>
    <row r="118" spans="1:10" ht="120">
      <c r="A118" s="137">
        <f>HYPERLINK("http://www.westlaw.com/Find/Default.wl?rs=dfa1.0&amp;vr=2.0&amp;DB=26&amp;FindType=Y&amp;SerialNum=2025868229",54)</f>
        <v>54</v>
      </c>
      <c r="B118" s="138" t="s">
        <v>6474</v>
      </c>
      <c r="C118" s="138" t="s">
        <v>6475</v>
      </c>
      <c r="D118" s="139"/>
      <c r="E118" s="139"/>
      <c r="F118" s="139" t="s">
        <v>78</v>
      </c>
      <c r="G118" s="139" t="s">
        <v>167</v>
      </c>
      <c r="H118" s="139" t="s">
        <v>79</v>
      </c>
      <c r="I118" s="139" t="s">
        <v>49</v>
      </c>
      <c r="J118" s="139"/>
    </row>
    <row r="119" spans="1:10" ht="60">
      <c r="A119" s="137">
        <f>HYPERLINK("http://www.westlaw.com/Find/Default.wl?rs=dfa1.0&amp;vr=2.0&amp;DB=506&amp;FindType=Y&amp;SerialNum=2025323379",55)</f>
        <v>55</v>
      </c>
      <c r="B119" s="138" t="s">
        <v>6476</v>
      </c>
      <c r="C119" s="138" t="s">
        <v>6477</v>
      </c>
      <c r="D119" s="139"/>
      <c r="E119" s="139"/>
      <c r="F119" s="139" t="s">
        <v>78</v>
      </c>
      <c r="G119" s="139" t="s">
        <v>167</v>
      </c>
      <c r="H119" s="139" t="s">
        <v>47</v>
      </c>
      <c r="I119" s="139" t="s">
        <v>49</v>
      </c>
      <c r="J119" s="139"/>
    </row>
    <row r="120" spans="1:10" ht="60">
      <c r="A120" s="137">
        <f>HYPERLINK("http://www.westlaw.com/Find/Default.wl?rs=dfa1.0&amp;vr=2.0&amp;FindType=Y&amp;SerialNum=2025825151",58)</f>
        <v>58</v>
      </c>
      <c r="B120" s="138" t="s">
        <v>6478</v>
      </c>
      <c r="C120" s="138" t="s">
        <v>6479</v>
      </c>
      <c r="D120" s="139"/>
      <c r="E120" s="139"/>
      <c r="F120" s="139" t="s">
        <v>78</v>
      </c>
      <c r="G120" s="139" t="s">
        <v>79</v>
      </c>
      <c r="H120" s="139" t="s">
        <v>47</v>
      </c>
      <c r="I120" s="139" t="s">
        <v>49</v>
      </c>
      <c r="J120" s="139"/>
    </row>
    <row r="121" spans="1:10" ht="60">
      <c r="A121" s="137">
        <f>HYPERLINK("http://www.westlaw.com/Find/Default.wl?rs=dfa1.0&amp;vr=2.0&amp;FindType=Y&amp;SerialNum=2025820097",59)</f>
        <v>59</v>
      </c>
      <c r="B121" s="138" t="s">
        <v>6480</v>
      </c>
      <c r="C121" s="138" t="s">
        <v>6481</v>
      </c>
      <c r="D121" s="139"/>
      <c r="E121" s="139"/>
      <c r="F121" s="139" t="s">
        <v>78</v>
      </c>
      <c r="G121" s="139" t="s">
        <v>79</v>
      </c>
      <c r="H121" s="139" t="s">
        <v>47</v>
      </c>
      <c r="I121" s="139" t="s">
        <v>49</v>
      </c>
      <c r="J121" s="139"/>
    </row>
    <row r="122" spans="1:10" ht="120">
      <c r="A122" s="137">
        <f>HYPERLINK("http://www.westlaw.com/Find/Default.wl?rs=dfa1.0&amp;vr=2.0&amp;DB=506&amp;FindType=Y&amp;SerialNum=2025804393",61)</f>
        <v>61</v>
      </c>
      <c r="B122" s="138" t="s">
        <v>6482</v>
      </c>
      <c r="C122" s="138" t="s">
        <v>6483</v>
      </c>
      <c r="D122" s="139"/>
      <c r="E122" s="139"/>
      <c r="F122" s="139" t="s">
        <v>78</v>
      </c>
      <c r="G122" s="139" t="s">
        <v>79</v>
      </c>
      <c r="H122" s="139" t="s">
        <v>100</v>
      </c>
      <c r="I122" s="139" t="s">
        <v>49</v>
      </c>
      <c r="J122" s="139" t="s">
        <v>6484</v>
      </c>
    </row>
    <row r="123" spans="1:10" ht="85">
      <c r="A123" s="137">
        <f>HYPERLINK("http://www.westlaw.com/Find/Default.wl?rs=dfa1.0&amp;vr=2.0&amp;DB=506&amp;FindType=Y&amp;SerialNum=2025799305",62)</f>
        <v>62</v>
      </c>
      <c r="B123" s="138" t="s">
        <v>6485</v>
      </c>
      <c r="C123" s="138" t="s">
        <v>6486</v>
      </c>
      <c r="D123" s="139"/>
      <c r="E123" s="139"/>
      <c r="F123" s="139" t="s">
        <v>78</v>
      </c>
      <c r="G123" s="139" t="s">
        <v>167</v>
      </c>
      <c r="H123" s="139" t="s">
        <v>111</v>
      </c>
      <c r="I123" s="139" t="s">
        <v>49</v>
      </c>
      <c r="J123" s="139" t="s">
        <v>6487</v>
      </c>
    </row>
    <row r="124" spans="1:10" ht="60">
      <c r="A124" s="137">
        <f>HYPERLINK("http://www.westlaw.com/Find/Default.wl?rs=dfa1.0&amp;vr=2.0&amp;FindType=Y&amp;SerialNum=2025781479",63)</f>
        <v>63</v>
      </c>
      <c r="B124" s="138" t="s">
        <v>6488</v>
      </c>
      <c r="C124" s="138" t="s">
        <v>6489</v>
      </c>
      <c r="D124" s="139"/>
      <c r="E124" s="139"/>
      <c r="F124" s="139" t="s">
        <v>78</v>
      </c>
      <c r="G124" s="139" t="s">
        <v>79</v>
      </c>
      <c r="H124" s="139" t="s">
        <v>79</v>
      </c>
      <c r="I124" s="139" t="s">
        <v>49</v>
      </c>
      <c r="J124" s="139"/>
    </row>
    <row r="125" spans="1:10" ht="96">
      <c r="A125" s="137">
        <f>HYPERLINK("http://www.westlaw.com/Find/Default.wl?rs=dfa1.0&amp;vr=2.0&amp;DB=506&amp;FindType=Y&amp;SerialNum=2025767987",64)</f>
        <v>64</v>
      </c>
      <c r="B125" s="138" t="s">
        <v>6490</v>
      </c>
      <c r="C125" s="138" t="s">
        <v>6491</v>
      </c>
      <c r="D125" s="139"/>
      <c r="E125" s="139"/>
      <c r="F125" s="139" t="s">
        <v>78</v>
      </c>
      <c r="G125" s="139" t="s">
        <v>79</v>
      </c>
      <c r="H125" s="139" t="s">
        <v>79</v>
      </c>
      <c r="I125" s="139" t="s">
        <v>49</v>
      </c>
      <c r="J125" s="139"/>
    </row>
    <row r="126" spans="1:10" ht="60">
      <c r="A126" s="137">
        <f>HYPERLINK("http://www.westlaw.com/Find/Default.wl?rs=dfa1.0&amp;vr=2.0&amp;FindType=Y&amp;SerialNum=2025666550",65)</f>
        <v>65</v>
      </c>
      <c r="B126" s="138" t="s">
        <v>6492</v>
      </c>
      <c r="C126" s="138" t="s">
        <v>6493</v>
      </c>
      <c r="D126" s="139"/>
      <c r="E126" s="139"/>
      <c r="F126" s="139" t="s">
        <v>78</v>
      </c>
      <c r="G126" s="139" t="s">
        <v>79</v>
      </c>
      <c r="H126" s="139" t="s">
        <v>47</v>
      </c>
      <c r="I126" s="139" t="s">
        <v>49</v>
      </c>
      <c r="J126" s="139"/>
    </row>
    <row r="127" spans="1:10" ht="60">
      <c r="A127" s="137">
        <f>HYPERLINK("http://www.westlaw.com/Find/Default.wl?rs=dfa1.0&amp;vr=2.0&amp;FindType=Y&amp;SerialNum=2025619350",66)</f>
        <v>66</v>
      </c>
      <c r="B127" s="138" t="s">
        <v>533</v>
      </c>
      <c r="C127" s="138" t="s">
        <v>6494</v>
      </c>
      <c r="D127" s="139"/>
      <c r="E127" s="139"/>
      <c r="F127" s="139" t="s">
        <v>78</v>
      </c>
      <c r="G127" s="139" t="s">
        <v>167</v>
      </c>
      <c r="H127" s="139" t="s">
        <v>79</v>
      </c>
      <c r="I127" s="139" t="s">
        <v>49</v>
      </c>
      <c r="J127" s="139"/>
    </row>
    <row r="128" spans="1:10" ht="60">
      <c r="A128" s="137">
        <f>HYPERLINK("http://www.westlaw.com/Find/Default.wl?rs=dfa1.0&amp;vr=2.0&amp;DB=506&amp;FindType=Y&amp;SerialNum=2025614390",67)</f>
        <v>67</v>
      </c>
      <c r="B128" s="138" t="s">
        <v>6495</v>
      </c>
      <c r="C128" s="138" t="s">
        <v>6496</v>
      </c>
      <c r="D128" s="139"/>
      <c r="E128" s="139"/>
      <c r="F128" s="139" t="s">
        <v>78</v>
      </c>
      <c r="G128" s="139" t="s">
        <v>167</v>
      </c>
      <c r="H128" s="139" t="s">
        <v>5325</v>
      </c>
      <c r="I128" s="139" t="s">
        <v>49</v>
      </c>
      <c r="J128" s="139"/>
    </row>
    <row r="129" spans="1:10" ht="96">
      <c r="A129" s="137">
        <f>HYPERLINK("http://www.westlaw.com/Find/Default.wl?rs=dfa1.0&amp;vr=2.0&amp;DB=26&amp;FindType=Y&amp;SerialNum=2025614438",68)</f>
        <v>68</v>
      </c>
      <c r="B129" s="138" t="s">
        <v>6497</v>
      </c>
      <c r="C129" s="138" t="s">
        <v>6498</v>
      </c>
      <c r="D129" s="139"/>
      <c r="E129" s="139"/>
      <c r="F129" s="139" t="s">
        <v>78</v>
      </c>
      <c r="G129" s="139" t="s">
        <v>79</v>
      </c>
      <c r="H129" s="139" t="s">
        <v>79</v>
      </c>
      <c r="I129" s="139" t="s">
        <v>49</v>
      </c>
      <c r="J129" s="139"/>
    </row>
    <row r="130" spans="1:10" ht="72">
      <c r="A130" s="137">
        <f>HYPERLINK("http://www.westlaw.com/Find/Default.wl?rs=dfa1.0&amp;vr=2.0&amp;DB=506&amp;FindType=Y&amp;SerialNum=2025577835",69)</f>
        <v>69</v>
      </c>
      <c r="B130" s="138" t="s">
        <v>6499</v>
      </c>
      <c r="C130" s="138" t="s">
        <v>6500</v>
      </c>
      <c r="D130" s="139"/>
      <c r="E130" s="139"/>
      <c r="F130" s="139" t="s">
        <v>78</v>
      </c>
      <c r="G130" s="139" t="s">
        <v>167</v>
      </c>
      <c r="H130" s="139" t="s">
        <v>79</v>
      </c>
      <c r="I130" s="139" t="s">
        <v>49</v>
      </c>
      <c r="J130" s="139"/>
    </row>
    <row r="131" spans="1:10" ht="108">
      <c r="A131" s="137">
        <f>HYPERLINK("http://www.westlaw.com/Find/Default.wl?rs=dfa1.0&amp;vr=2.0&amp;DB=4439&amp;FindType=Y&amp;SerialNum=2025537481",70)</f>
        <v>70</v>
      </c>
      <c r="B131" s="138" t="s">
        <v>923</v>
      </c>
      <c r="C131" s="138" t="s">
        <v>6501</v>
      </c>
      <c r="D131" s="139"/>
      <c r="E131" s="139"/>
      <c r="F131" s="139" t="s">
        <v>78</v>
      </c>
      <c r="G131" s="139" t="s">
        <v>79</v>
      </c>
      <c r="H131" s="139" t="s">
        <v>47</v>
      </c>
      <c r="I131" s="139" t="s">
        <v>49</v>
      </c>
      <c r="J131" s="139"/>
    </row>
    <row r="132" spans="1:10" ht="84">
      <c r="A132" s="137">
        <f>HYPERLINK("http://www.westlaw.com/Find/Default.wl?rs=dfa1.0&amp;vr=2.0&amp;DB=506&amp;FindType=Y&amp;SerialNum=2025507452",71)</f>
        <v>71</v>
      </c>
      <c r="B132" s="138" t="s">
        <v>6502</v>
      </c>
      <c r="C132" s="138" t="s">
        <v>6503</v>
      </c>
      <c r="D132" s="139"/>
      <c r="E132" s="139"/>
      <c r="F132" s="139" t="s">
        <v>78</v>
      </c>
      <c r="G132" s="139" t="s">
        <v>79</v>
      </c>
      <c r="H132" s="139" t="s">
        <v>100</v>
      </c>
      <c r="I132" s="139" t="s">
        <v>49</v>
      </c>
      <c r="J132" s="139" t="s">
        <v>6504</v>
      </c>
    </row>
    <row r="133" spans="1:10" ht="72">
      <c r="A133" s="137">
        <f>HYPERLINK("http://www.westlaw.com/Find/Default.wl?rs=dfa1.0&amp;vr=2.0&amp;DB=506&amp;FindType=Y&amp;SerialNum=2025477755",72)</f>
        <v>72</v>
      </c>
      <c r="B133" s="138" t="s">
        <v>6505</v>
      </c>
      <c r="C133" s="138" t="s">
        <v>6506</v>
      </c>
      <c r="D133" s="139"/>
      <c r="E133" s="139"/>
      <c r="F133" s="139" t="s">
        <v>78</v>
      </c>
      <c r="G133" s="139" t="s">
        <v>167</v>
      </c>
      <c r="H133" s="139" t="s">
        <v>100</v>
      </c>
      <c r="I133" s="139" t="s">
        <v>49</v>
      </c>
      <c r="J133" s="139"/>
    </row>
    <row r="134" spans="1:10" ht="60">
      <c r="A134" s="137">
        <f>HYPERLINK("http://www.westlaw.com/Find/Default.wl?rs=dfa1.0&amp;vr=2.0&amp;DB=506&amp;FindType=Y&amp;SerialNum=2025477766",73)</f>
        <v>73</v>
      </c>
      <c r="B134" s="138" t="s">
        <v>717</v>
      </c>
      <c r="C134" s="138" t="s">
        <v>6507</v>
      </c>
      <c r="D134" s="139"/>
      <c r="E134" s="139"/>
      <c r="F134" s="139" t="s">
        <v>78</v>
      </c>
      <c r="G134" s="139" t="s">
        <v>167</v>
      </c>
      <c r="H134" s="139" t="s">
        <v>6508</v>
      </c>
      <c r="I134" s="139" t="s">
        <v>49</v>
      </c>
      <c r="J134" s="139"/>
    </row>
    <row r="135" spans="1:10" ht="85">
      <c r="A135" s="137">
        <f>HYPERLINK("http://www.westlaw.com/Find/Default.wl?rs=dfa1.0&amp;vr=2.0&amp;DB=506&amp;FindType=Y&amp;SerialNum=2025477893",74)</f>
        <v>74</v>
      </c>
      <c r="B135" s="138" t="s">
        <v>6509</v>
      </c>
      <c r="C135" s="138" t="s">
        <v>6510</v>
      </c>
      <c r="D135" s="139"/>
      <c r="E135" s="139"/>
      <c r="F135" s="139" t="s">
        <v>78</v>
      </c>
      <c r="G135" s="139" t="s">
        <v>167</v>
      </c>
      <c r="H135" s="139" t="s">
        <v>111</v>
      </c>
      <c r="I135" s="139" t="s">
        <v>49</v>
      </c>
      <c r="J135" s="139" t="s">
        <v>6511</v>
      </c>
    </row>
    <row r="136" spans="1:10" ht="96">
      <c r="A136" s="137">
        <f>HYPERLINK("http://www.westlaw.com/Find/Default.wl?rs=dfa1.0&amp;vr=2.0&amp;DB=506&amp;FindType=Y&amp;SerialNum=2025323227",77)</f>
        <v>77</v>
      </c>
      <c r="B136" s="138" t="s">
        <v>6512</v>
      </c>
      <c r="C136" s="138" t="s">
        <v>6513</v>
      </c>
      <c r="D136" s="139"/>
      <c r="E136" s="139"/>
      <c r="F136" s="139" t="s">
        <v>78</v>
      </c>
      <c r="G136" s="139" t="s">
        <v>79</v>
      </c>
      <c r="H136" s="139" t="s">
        <v>100</v>
      </c>
      <c r="I136" s="139" t="s">
        <v>49</v>
      </c>
      <c r="J136" s="139" t="s">
        <v>6514</v>
      </c>
    </row>
    <row r="137" spans="1:10" ht="72">
      <c r="A137" s="137">
        <f>HYPERLINK("http://www.westlaw.com/Find/Default.wl?rs=dfa1.0&amp;vr=2.0&amp;DB=506&amp;FindType=Y&amp;SerialNum=2025295626",78)</f>
        <v>78</v>
      </c>
      <c r="B137" s="138" t="s">
        <v>699</v>
      </c>
      <c r="C137" s="138" t="s">
        <v>6515</v>
      </c>
      <c r="D137" s="139"/>
      <c r="E137" s="139"/>
      <c r="F137" s="139" t="s">
        <v>78</v>
      </c>
      <c r="G137" s="139" t="s">
        <v>79</v>
      </c>
      <c r="H137" s="139" t="s">
        <v>100</v>
      </c>
      <c r="I137" s="139" t="s">
        <v>49</v>
      </c>
      <c r="J137" s="139"/>
    </row>
    <row r="138" spans="1:10" ht="72">
      <c r="A138" s="137">
        <f>HYPERLINK("http://www.westlaw.com/Find/Default.wl?rs=dfa1.0&amp;vr=2.0&amp;DB=6538&amp;FindType=Y&amp;SerialNum=2025285999",79)</f>
        <v>79</v>
      </c>
      <c r="B138" s="138" t="s">
        <v>6516</v>
      </c>
      <c r="C138" s="138" t="s">
        <v>6517</v>
      </c>
      <c r="D138" s="139"/>
      <c r="E138" s="139"/>
      <c r="F138" s="139" t="s">
        <v>78</v>
      </c>
      <c r="G138" s="139" t="s">
        <v>167</v>
      </c>
      <c r="H138" s="139" t="s">
        <v>100</v>
      </c>
      <c r="I138" s="139" t="s">
        <v>49</v>
      </c>
      <c r="J138" s="139"/>
    </row>
    <row r="139" spans="1:10" ht="96">
      <c r="A139" s="137">
        <f>HYPERLINK("http://www.westlaw.com/Find/Default.wl?rs=dfa1.0&amp;vr=2.0&amp;DB=506&amp;FindType=Y&amp;SerialNum=2025270265",80)</f>
        <v>80</v>
      </c>
      <c r="B139" s="138" t="s">
        <v>6518</v>
      </c>
      <c r="C139" s="138" t="s">
        <v>6519</v>
      </c>
      <c r="D139" s="139"/>
      <c r="E139" s="139"/>
      <c r="F139" s="139" t="s">
        <v>78</v>
      </c>
      <c r="G139" s="139" t="s">
        <v>79</v>
      </c>
      <c r="H139" s="139" t="s">
        <v>100</v>
      </c>
      <c r="I139" s="139" t="s">
        <v>49</v>
      </c>
      <c r="J139" s="139"/>
    </row>
    <row r="140" spans="1:10" ht="204">
      <c r="A140" s="137">
        <f>HYPERLINK("http://www.westlaw.com/Find/Default.wl?rs=dfa1.0&amp;vr=2.0&amp;DB=26&amp;FindType=Y&amp;SerialNum=2025231878",81)</f>
        <v>81</v>
      </c>
      <c r="B140" s="138" t="s">
        <v>6520</v>
      </c>
      <c r="C140" s="138" t="s">
        <v>6521</v>
      </c>
      <c r="D140" s="139"/>
      <c r="E140" s="139"/>
      <c r="F140" s="139" t="s">
        <v>78</v>
      </c>
      <c r="G140" s="139" t="s">
        <v>167</v>
      </c>
      <c r="H140" s="139" t="s">
        <v>79</v>
      </c>
      <c r="I140" s="139" t="s">
        <v>49</v>
      </c>
      <c r="J140" s="139"/>
    </row>
    <row r="141" spans="1:10" ht="72">
      <c r="A141" s="137">
        <f>HYPERLINK("http://www.westlaw.com/Find/Default.wl?rs=dfa1.0&amp;vr=2.0&amp;DB=506&amp;FindType=Y&amp;SerialNum=2025208767",82)</f>
        <v>82</v>
      </c>
      <c r="B141" s="138" t="s">
        <v>6522</v>
      </c>
      <c r="C141" s="138" t="s">
        <v>6523</v>
      </c>
      <c r="D141" s="139"/>
      <c r="E141" s="139"/>
      <c r="F141" s="139" t="s">
        <v>78</v>
      </c>
      <c r="G141" s="139" t="s">
        <v>79</v>
      </c>
      <c r="H141" s="139" t="s">
        <v>79</v>
      </c>
      <c r="I141" s="139" t="s">
        <v>49</v>
      </c>
      <c r="J141" s="139"/>
    </row>
    <row r="142" spans="1:10" ht="72">
      <c r="A142" s="137">
        <f>HYPERLINK("http://www.westlaw.com/Find/Default.wl?rs=dfa1.0&amp;vr=2.0&amp;DB=506&amp;FindType=Y&amp;SerialNum=2025191221",83)</f>
        <v>83</v>
      </c>
      <c r="B142" s="138" t="s">
        <v>6524</v>
      </c>
      <c r="C142" s="138" t="s">
        <v>6525</v>
      </c>
      <c r="D142" s="139"/>
      <c r="E142" s="139"/>
      <c r="F142" s="139" t="s">
        <v>78</v>
      </c>
      <c r="G142" s="139" t="s">
        <v>79</v>
      </c>
      <c r="H142" s="139" t="s">
        <v>100</v>
      </c>
      <c r="I142" s="139" t="s">
        <v>49</v>
      </c>
      <c r="J142" s="139"/>
    </row>
    <row r="143" spans="1:10" ht="60">
      <c r="A143" s="137">
        <f>HYPERLINK("http://www.westlaw.com/Find/Default.wl?rs=dfa1.0&amp;vr=2.0&amp;DB=506&amp;FindType=Y&amp;SerialNum=2025241259",84)</f>
        <v>84</v>
      </c>
      <c r="B143" s="138" t="s">
        <v>6526</v>
      </c>
      <c r="C143" s="138" t="s">
        <v>6527</v>
      </c>
      <c r="D143" s="139"/>
      <c r="E143" s="139"/>
      <c r="F143" s="139" t="s">
        <v>78</v>
      </c>
      <c r="G143" s="139" t="s">
        <v>79</v>
      </c>
      <c r="H143" s="139" t="s">
        <v>111</v>
      </c>
      <c r="I143" s="139" t="s">
        <v>49</v>
      </c>
      <c r="J143" s="139"/>
    </row>
    <row r="144" spans="1:10" ht="132">
      <c r="A144" s="137">
        <f>HYPERLINK("http://www.westlaw.com/Find/Default.wl?rs=dfa1.0&amp;vr=2.0&amp;DB=506&amp;FindType=Y&amp;SerialNum=2025152691",85)</f>
        <v>85</v>
      </c>
      <c r="B144" s="138" t="s">
        <v>6528</v>
      </c>
      <c r="C144" s="138" t="s">
        <v>6529</v>
      </c>
      <c r="D144" s="139"/>
      <c r="E144" s="139"/>
      <c r="F144" s="139" t="s">
        <v>78</v>
      </c>
      <c r="G144" s="139" t="s">
        <v>79</v>
      </c>
      <c r="H144" s="139" t="s">
        <v>79</v>
      </c>
      <c r="I144" s="139" t="s">
        <v>49</v>
      </c>
      <c r="J144" s="139"/>
    </row>
    <row r="145" spans="1:10" ht="84">
      <c r="A145" s="137">
        <f>HYPERLINK("http://www.westlaw.com/Find/Default.wl?rs=dfa1.0&amp;vr=2.0&amp;DB=506&amp;FindType=Y&amp;SerialNum=2024933716",86)</f>
        <v>86</v>
      </c>
      <c r="B145" s="138" t="s">
        <v>6530</v>
      </c>
      <c r="C145" s="138" t="s">
        <v>6531</v>
      </c>
      <c r="D145" s="139"/>
      <c r="E145" s="139"/>
      <c r="F145" s="139" t="s">
        <v>78</v>
      </c>
      <c r="G145" s="139" t="s">
        <v>167</v>
      </c>
      <c r="H145" s="139" t="s">
        <v>100</v>
      </c>
      <c r="I145" s="139" t="s">
        <v>49</v>
      </c>
      <c r="J145" s="139"/>
    </row>
    <row r="146" spans="1:10" ht="72">
      <c r="A146" s="137">
        <f>HYPERLINK("http://www.westlaw.com/Find/Default.wl?rs=dfa1.0&amp;vr=2.0&amp;DB=6538&amp;FindType=Y&amp;SerialNum=2024934874",87)</f>
        <v>87</v>
      </c>
      <c r="B146" s="138" t="s">
        <v>6532</v>
      </c>
      <c r="C146" s="138" t="s">
        <v>6533</v>
      </c>
      <c r="D146" s="139"/>
      <c r="E146" s="139"/>
      <c r="F146" s="139" t="s">
        <v>78</v>
      </c>
      <c r="G146" s="139" t="s">
        <v>79</v>
      </c>
      <c r="H146" s="139" t="s">
        <v>100</v>
      </c>
      <c r="I146" s="139" t="s">
        <v>49</v>
      </c>
      <c r="J146" s="139"/>
    </row>
    <row r="147" spans="1:10" ht="84">
      <c r="A147" s="137">
        <f>HYPERLINK("http://www.westlaw.com/Find/Default.wl?rs=dfa1.0&amp;vr=2.0&amp;DB=506&amp;FindType=Y&amp;SerialNum=2024880395",88)</f>
        <v>88</v>
      </c>
      <c r="B147" s="138" t="s">
        <v>6534</v>
      </c>
      <c r="C147" s="138" t="s">
        <v>6535</v>
      </c>
      <c r="D147" s="139"/>
      <c r="E147" s="139"/>
      <c r="F147" s="139" t="s">
        <v>78</v>
      </c>
      <c r="G147" s="139" t="s">
        <v>167</v>
      </c>
      <c r="H147" s="139" t="s">
        <v>100</v>
      </c>
      <c r="I147" s="139" t="s">
        <v>49</v>
      </c>
      <c r="J147" s="139"/>
    </row>
    <row r="148" spans="1:10" ht="72">
      <c r="A148" s="137">
        <f>HYPERLINK("http://www.westlaw.com/Find/Default.wl?rs=dfa1.0&amp;vr=2.0&amp;DB=506&amp;FindType=Y&amp;SerialNum=2024875783",89)</f>
        <v>89</v>
      </c>
      <c r="B148" s="138" t="s">
        <v>6536</v>
      </c>
      <c r="C148" s="138" t="s">
        <v>6537</v>
      </c>
      <c r="D148" s="139"/>
      <c r="E148" s="139"/>
      <c r="F148" s="139" t="s">
        <v>78</v>
      </c>
      <c r="G148" s="139" t="s">
        <v>79</v>
      </c>
      <c r="H148" s="139" t="s">
        <v>79</v>
      </c>
      <c r="I148" s="139" t="s">
        <v>49</v>
      </c>
      <c r="J148" s="139" t="s">
        <v>6514</v>
      </c>
    </row>
    <row r="149" spans="1:10" ht="72">
      <c r="A149" s="137">
        <f>HYPERLINK("http://www.westlaw.com/Find/Default.wl?rs=dfa1.0&amp;vr=2.0&amp;DB=6538&amp;FindType=Y&amp;SerialNum=2024838300",91)</f>
        <v>91</v>
      </c>
      <c r="B149" s="138" t="s">
        <v>6538</v>
      </c>
      <c r="C149" s="138" t="s">
        <v>6539</v>
      </c>
      <c r="D149" s="139"/>
      <c r="E149" s="139"/>
      <c r="F149" s="139" t="s">
        <v>78</v>
      </c>
      <c r="G149" s="139" t="s">
        <v>167</v>
      </c>
      <c r="H149" s="139" t="s">
        <v>100</v>
      </c>
      <c r="I149" s="139" t="s">
        <v>49</v>
      </c>
      <c r="J149" s="139"/>
    </row>
    <row r="150" spans="1:10" ht="120">
      <c r="A150" s="137">
        <f>HYPERLINK("http://www.westlaw.com/Find/Default.wl?rs=dfa1.0&amp;vr=2.0&amp;DB=506&amp;FindType=Y&amp;SerialNum=2024784890",92)</f>
        <v>92</v>
      </c>
      <c r="B150" s="138" t="s">
        <v>6540</v>
      </c>
      <c r="C150" s="138" t="s">
        <v>6541</v>
      </c>
      <c r="D150" s="139"/>
      <c r="E150" s="139"/>
      <c r="F150" s="139" t="s">
        <v>78</v>
      </c>
      <c r="G150" s="139" t="s">
        <v>79</v>
      </c>
      <c r="H150" s="139" t="s">
        <v>47</v>
      </c>
      <c r="I150" s="139" t="s">
        <v>49</v>
      </c>
      <c r="J150" s="139"/>
    </row>
    <row r="151" spans="1:10" ht="60">
      <c r="A151" s="137">
        <f>HYPERLINK("http://www.westlaw.com/Find/Default.wl?rs=dfa1.0&amp;vr=2.0&amp;FindType=Y&amp;SerialNum=2024845693",94)</f>
        <v>94</v>
      </c>
      <c r="B151" s="138" t="s">
        <v>6542</v>
      </c>
      <c r="C151" s="138" t="s">
        <v>6543</v>
      </c>
      <c r="D151" s="139"/>
      <c r="E151" s="139"/>
      <c r="F151" s="139" t="s">
        <v>78</v>
      </c>
      <c r="G151" s="139" t="s">
        <v>167</v>
      </c>
      <c r="H151" s="139" t="s">
        <v>79</v>
      </c>
      <c r="I151" s="139" t="s">
        <v>49</v>
      </c>
      <c r="J151" s="139"/>
    </row>
    <row r="152" spans="1:10" ht="72">
      <c r="A152" s="137">
        <f>HYPERLINK("http://www.westlaw.com/Find/Default.wl?rs=dfa1.0&amp;vr=2.0&amp;DB=506&amp;FindType=Y&amp;SerialNum=2024722701",95)</f>
        <v>95</v>
      </c>
      <c r="B152" s="138" t="s">
        <v>6544</v>
      </c>
      <c r="C152" s="138" t="s">
        <v>6545</v>
      </c>
      <c r="D152" s="139"/>
      <c r="E152" s="139"/>
      <c r="F152" s="139" t="s">
        <v>78</v>
      </c>
      <c r="G152" s="139" t="s">
        <v>167</v>
      </c>
      <c r="H152" s="139" t="s">
        <v>47</v>
      </c>
      <c r="I152" s="139" t="s">
        <v>49</v>
      </c>
      <c r="J152" s="139"/>
    </row>
    <row r="153" spans="1:10" ht="84">
      <c r="A153" s="137">
        <f>HYPERLINK("http://www.westlaw.com/Find/Default.wl?rs=dfa1.0&amp;vr=2.0&amp;DB=506&amp;FindType=Y&amp;SerialNum=2024674648",96)</f>
        <v>96</v>
      </c>
      <c r="B153" s="138" t="s">
        <v>6546</v>
      </c>
      <c r="C153" s="138" t="s">
        <v>6547</v>
      </c>
      <c r="D153" s="139"/>
      <c r="E153" s="139"/>
      <c r="F153" s="139" t="s">
        <v>78</v>
      </c>
      <c r="G153" s="139" t="s">
        <v>79</v>
      </c>
      <c r="H153" s="139" t="s">
        <v>47</v>
      </c>
      <c r="I153" s="139" t="s">
        <v>49</v>
      </c>
      <c r="J153" s="139"/>
    </row>
    <row r="154" spans="1:10" ht="120">
      <c r="A154" s="137">
        <f>HYPERLINK("http://www.westlaw.com/Find/Default.wl?rs=dfa1.0&amp;vr=2.0&amp;DB=506&amp;FindType=Y&amp;SerialNum=2024656449",97)</f>
        <v>97</v>
      </c>
      <c r="B154" s="138" t="s">
        <v>6548</v>
      </c>
      <c r="C154" s="138" t="s">
        <v>6549</v>
      </c>
      <c r="D154" s="139"/>
      <c r="E154" s="139"/>
      <c r="F154" s="139" t="s">
        <v>78</v>
      </c>
      <c r="G154" s="139" t="s">
        <v>167</v>
      </c>
      <c r="H154" s="139" t="s">
        <v>47</v>
      </c>
      <c r="I154" s="139" t="s">
        <v>49</v>
      </c>
      <c r="J154" s="139"/>
    </row>
    <row r="155" spans="1:10" ht="72">
      <c r="A155" s="137">
        <f>HYPERLINK("http://www.westlaw.com/Find/Default.wl?rs=dfa1.0&amp;vr=2.0&amp;DB=506&amp;FindType=Y&amp;SerialNum=2024560997",98)</f>
        <v>98</v>
      </c>
      <c r="B155" s="138" t="s">
        <v>6550</v>
      </c>
      <c r="C155" s="138" t="s">
        <v>6551</v>
      </c>
      <c r="D155" s="139"/>
      <c r="E155" s="139"/>
      <c r="F155" s="139" t="s">
        <v>78</v>
      </c>
      <c r="G155" s="139" t="s">
        <v>79</v>
      </c>
      <c r="H155" s="139" t="s">
        <v>100</v>
      </c>
      <c r="I155" s="139" t="s">
        <v>49</v>
      </c>
      <c r="J155" s="139" t="s">
        <v>6514</v>
      </c>
    </row>
    <row r="156" spans="1:10" ht="72">
      <c r="A156" s="137">
        <f>HYPERLINK("http://www.westlaw.com/Find/Default.wl?rs=dfa1.0&amp;vr=2.0&amp;DB=506&amp;FindType=Y&amp;SerialNum=2024562889",99)</f>
        <v>99</v>
      </c>
      <c r="B156" s="138" t="s">
        <v>6552</v>
      </c>
      <c r="C156" s="138" t="s">
        <v>6553</v>
      </c>
      <c r="D156" s="139"/>
      <c r="E156" s="139"/>
      <c r="F156" s="139" t="s">
        <v>78</v>
      </c>
      <c r="G156" s="139" t="s">
        <v>79</v>
      </c>
      <c r="H156" s="139" t="s">
        <v>100</v>
      </c>
      <c r="I156" s="139" t="s">
        <v>49</v>
      </c>
      <c r="J156" s="139"/>
    </row>
    <row r="157" spans="1:10" ht="120">
      <c r="A157" s="137">
        <f>HYPERLINK("http://www.westlaw.com/Find/Default.wl?rs=dfa1.0&amp;vr=2.0&amp;DB=506&amp;FindType=Y&amp;SerialNum=2024555185",100)</f>
        <v>100</v>
      </c>
      <c r="B157" s="138" t="s">
        <v>6554</v>
      </c>
      <c r="C157" s="138" t="s">
        <v>6555</v>
      </c>
      <c r="D157" s="139"/>
      <c r="E157" s="139"/>
      <c r="F157" s="139" t="s">
        <v>78</v>
      </c>
      <c r="G157" s="139" t="s">
        <v>167</v>
      </c>
      <c r="H157" s="139" t="s">
        <v>111</v>
      </c>
      <c r="I157" s="139" t="s">
        <v>49</v>
      </c>
      <c r="J157" s="139" t="s">
        <v>6556</v>
      </c>
    </row>
    <row r="158" spans="1:10" ht="144">
      <c r="A158" s="137">
        <f>HYPERLINK("http://www.westlaw.com/Find/Default.wl?rs=dfa1.0&amp;vr=2.0&amp;DB=506&amp;FindType=Y&amp;SerialNum=2024541557",101)</f>
        <v>101</v>
      </c>
      <c r="B158" s="138" t="s">
        <v>6557</v>
      </c>
      <c r="C158" s="138" t="s">
        <v>6558</v>
      </c>
      <c r="D158" s="139"/>
      <c r="E158" s="139"/>
      <c r="F158" s="139" t="s">
        <v>78</v>
      </c>
      <c r="G158" s="139" t="s">
        <v>79</v>
      </c>
      <c r="H158" s="139" t="s">
        <v>79</v>
      </c>
      <c r="I158" s="139" t="s">
        <v>49</v>
      </c>
      <c r="J158" s="139"/>
    </row>
    <row r="159" spans="1:10" ht="72">
      <c r="A159" s="137">
        <f>HYPERLINK("http://www.westlaw.com/Find/Default.wl?rs=dfa1.0&amp;vr=2.0&amp;DB=506&amp;FindType=Y&amp;SerialNum=2024533334",102)</f>
        <v>102</v>
      </c>
      <c r="B159" s="138" t="s">
        <v>152</v>
      </c>
      <c r="C159" s="138" t="s">
        <v>6559</v>
      </c>
      <c r="D159" s="139"/>
      <c r="E159" s="139"/>
      <c r="F159" s="139" t="s">
        <v>78</v>
      </c>
      <c r="G159" s="139" t="s">
        <v>167</v>
      </c>
      <c r="H159" s="139" t="s">
        <v>100</v>
      </c>
      <c r="I159" s="139" t="s">
        <v>49</v>
      </c>
      <c r="J159" s="139"/>
    </row>
    <row r="160" spans="1:10" ht="72">
      <c r="A160" s="137">
        <f>HYPERLINK("http://www.westlaw.com/Find/Default.wl?rs=dfa1.0&amp;vr=2.0&amp;DB=506&amp;FindType=Y&amp;SerialNum=2024504006",103)</f>
        <v>103</v>
      </c>
      <c r="B160" s="138" t="s">
        <v>6560</v>
      </c>
      <c r="C160" s="138" t="s">
        <v>6561</v>
      </c>
      <c r="D160" s="139"/>
      <c r="E160" s="139"/>
      <c r="F160" s="139" t="s">
        <v>78</v>
      </c>
      <c r="G160" s="139" t="s">
        <v>79</v>
      </c>
      <c r="H160" s="139" t="s">
        <v>47</v>
      </c>
      <c r="I160" s="139" t="s">
        <v>49</v>
      </c>
      <c r="J160" s="139"/>
    </row>
    <row r="161" spans="1:10" ht="72">
      <c r="A161" s="137">
        <f>HYPERLINK("http://www.westlaw.com/Find/Default.wl?rs=dfa1.0&amp;vr=2.0&amp;DB=506&amp;FindType=Y&amp;SerialNum=2024510404",104)</f>
        <v>104</v>
      </c>
      <c r="B161" s="138" t="s">
        <v>6562</v>
      </c>
      <c r="C161" s="138" t="s">
        <v>6563</v>
      </c>
      <c r="D161" s="139"/>
      <c r="E161" s="139"/>
      <c r="F161" s="139" t="s">
        <v>78</v>
      </c>
      <c r="G161" s="139" t="s">
        <v>79</v>
      </c>
      <c r="H161" s="139" t="s">
        <v>79</v>
      </c>
      <c r="I161" s="139" t="s">
        <v>49</v>
      </c>
      <c r="J161" s="139" t="s">
        <v>6514</v>
      </c>
    </row>
    <row r="162" spans="1:10" ht="108">
      <c r="A162" s="137">
        <f>HYPERLINK("http://www.westlaw.com/Find/Default.wl?rs=dfa1.0&amp;vr=2.0&amp;DB=506&amp;FindType=Y&amp;SerialNum=2024251452",105)</f>
        <v>105</v>
      </c>
      <c r="B162" s="138" t="s">
        <v>6564</v>
      </c>
      <c r="C162" s="138" t="s">
        <v>6565</v>
      </c>
      <c r="D162" s="139"/>
      <c r="E162" s="139"/>
      <c r="F162" s="139" t="s">
        <v>78</v>
      </c>
      <c r="G162" s="139" t="s">
        <v>79</v>
      </c>
      <c r="H162" s="139" t="s">
        <v>100</v>
      </c>
      <c r="I162" s="139" t="s">
        <v>49</v>
      </c>
      <c r="J162" s="139"/>
    </row>
    <row r="163" spans="1:10" ht="72">
      <c r="A163" s="137">
        <f>HYPERLINK("http://www.westlaw.com/Find/Default.wl?rs=dfa1.0&amp;vr=2.0&amp;DB=506&amp;FindType=Y&amp;SerialNum=2024171943",107)</f>
        <v>107</v>
      </c>
      <c r="B163" s="138" t="s">
        <v>226</v>
      </c>
      <c r="C163" s="138" t="s">
        <v>6566</v>
      </c>
      <c r="D163" s="139"/>
      <c r="E163" s="139"/>
      <c r="F163" s="139" t="s">
        <v>78</v>
      </c>
      <c r="G163" s="139" t="s">
        <v>79</v>
      </c>
      <c r="H163" s="139" t="s">
        <v>100</v>
      </c>
      <c r="I163" s="139" t="s">
        <v>49</v>
      </c>
      <c r="J163" s="139"/>
    </row>
    <row r="164" spans="1:10" ht="84">
      <c r="A164" s="137">
        <f>HYPERLINK("http://www.westlaw.com/Find/Default.wl?rs=dfa1.0&amp;vr=2.0&amp;DB=506&amp;FindType=Y&amp;SerialNum=2024157692",108)</f>
        <v>108</v>
      </c>
      <c r="B164" s="138" t="s">
        <v>6567</v>
      </c>
      <c r="C164" s="138" t="s">
        <v>6568</v>
      </c>
      <c r="D164" s="139"/>
      <c r="E164" s="139"/>
      <c r="F164" s="139" t="s">
        <v>78</v>
      </c>
      <c r="G164" s="139" t="s">
        <v>79</v>
      </c>
      <c r="H164" s="139" t="s">
        <v>47</v>
      </c>
      <c r="I164" s="139" t="s">
        <v>49</v>
      </c>
      <c r="J164" s="139"/>
    </row>
    <row r="165" spans="1:10" ht="84">
      <c r="A165" s="137">
        <f>HYPERLINK("http://www.westlaw.com/Find/Default.wl?rs=dfa1.0&amp;vr=2.0&amp;DB=506&amp;FindType=Y&amp;SerialNum=2024153353",109)</f>
        <v>109</v>
      </c>
      <c r="B165" s="138" t="s">
        <v>6569</v>
      </c>
      <c r="C165" s="138" t="s">
        <v>6570</v>
      </c>
      <c r="D165" s="139"/>
      <c r="E165" s="139"/>
      <c r="F165" s="139" t="s">
        <v>78</v>
      </c>
      <c r="G165" s="139" t="s">
        <v>79</v>
      </c>
      <c r="H165" s="139" t="s">
        <v>111</v>
      </c>
      <c r="I165" s="139" t="s">
        <v>49</v>
      </c>
      <c r="J165" s="139"/>
    </row>
    <row r="166" spans="1:10" ht="96">
      <c r="A166" s="137">
        <f>HYPERLINK("http://www.westlaw.com/Find/Default.wl?rs=dfa1.0&amp;vr=2.0&amp;DB=6538&amp;FindType=Y&amp;SerialNum=2024183483",110)</f>
        <v>110</v>
      </c>
      <c r="B166" s="138" t="s">
        <v>6571</v>
      </c>
      <c r="C166" s="138" t="s">
        <v>6572</v>
      </c>
      <c r="D166" s="139"/>
      <c r="E166" s="139"/>
      <c r="F166" s="139" t="s">
        <v>78</v>
      </c>
      <c r="G166" s="139" t="s">
        <v>167</v>
      </c>
      <c r="H166" s="139" t="s">
        <v>47</v>
      </c>
      <c r="I166" s="139" t="s">
        <v>49</v>
      </c>
      <c r="J166" s="139"/>
    </row>
    <row r="167" spans="1:10" ht="72">
      <c r="A167" s="137">
        <f>HYPERLINK("http://www.westlaw.com/Find/Default.wl?rs=dfa1.0&amp;vr=2.0&amp;DB=506&amp;FindType=Y&amp;SerialNum=2023939774",111)</f>
        <v>111</v>
      </c>
      <c r="B167" s="138" t="s">
        <v>6573</v>
      </c>
      <c r="C167" s="138" t="s">
        <v>6574</v>
      </c>
      <c r="D167" s="139"/>
      <c r="E167" s="139"/>
      <c r="F167" s="139" t="s">
        <v>78</v>
      </c>
      <c r="G167" s="139" t="s">
        <v>167</v>
      </c>
      <c r="H167" s="139" t="s">
        <v>47</v>
      </c>
      <c r="I167" s="139" t="s">
        <v>49</v>
      </c>
      <c r="J167" s="139"/>
    </row>
    <row r="168" spans="1:10" ht="84">
      <c r="A168" s="137">
        <f>HYPERLINK("http://www.westlaw.com/Find/Default.wl?rs=dfa1.0&amp;vr=2.0&amp;DB=506&amp;FindType=Y&amp;SerialNum=2023911211",112)</f>
        <v>112</v>
      </c>
      <c r="B168" s="138" t="s">
        <v>6575</v>
      </c>
      <c r="C168" s="138" t="s">
        <v>6576</v>
      </c>
      <c r="D168" s="139"/>
      <c r="E168" s="139"/>
      <c r="F168" s="139" t="s">
        <v>78</v>
      </c>
      <c r="G168" s="139" t="s">
        <v>79</v>
      </c>
      <c r="H168" s="139" t="s">
        <v>47</v>
      </c>
      <c r="I168" s="139" t="s">
        <v>49</v>
      </c>
      <c r="J168" s="139"/>
    </row>
    <row r="169" spans="1:10" ht="120">
      <c r="A169" s="137">
        <f>HYPERLINK("http://www.westlaw.com/Find/Default.wl?rs=dfa1.0&amp;vr=2.0&amp;DB=6538&amp;FindType=Y&amp;SerialNum=2023902733",113)</f>
        <v>113</v>
      </c>
      <c r="B169" s="138" t="s">
        <v>6577</v>
      </c>
      <c r="C169" s="138" t="s">
        <v>6578</v>
      </c>
      <c r="D169" s="139"/>
      <c r="E169" s="139"/>
      <c r="F169" s="139" t="s">
        <v>78</v>
      </c>
      <c r="G169" s="139" t="s">
        <v>79</v>
      </c>
      <c r="H169" s="139" t="s">
        <v>79</v>
      </c>
      <c r="I169" s="139" t="s">
        <v>49</v>
      </c>
      <c r="J169" s="139"/>
    </row>
    <row r="170" spans="1:10" ht="96">
      <c r="A170" s="137">
        <f>HYPERLINK("http://www.westlaw.com/Find/Default.wl?rs=dfa1.0&amp;vr=2.0&amp;DB=506&amp;FindType=Y&amp;SerialNum=2023786946",114)</f>
        <v>114</v>
      </c>
      <c r="B170" s="138" t="s">
        <v>6542</v>
      </c>
      <c r="C170" s="138" t="s">
        <v>6579</v>
      </c>
      <c r="D170" s="139"/>
      <c r="E170" s="139"/>
      <c r="F170" s="139" t="s">
        <v>78</v>
      </c>
      <c r="G170" s="139" t="s">
        <v>167</v>
      </c>
      <c r="H170" s="139" t="s">
        <v>79</v>
      </c>
      <c r="I170" s="139" t="s">
        <v>49</v>
      </c>
      <c r="J170" s="139" t="s">
        <v>6514</v>
      </c>
    </row>
    <row r="171" spans="1:10" ht="84">
      <c r="A171" s="137">
        <f>HYPERLINK("http://www.westlaw.com/Find/Default.wl?rs=dfa1.0&amp;vr=2.0&amp;DB=506&amp;FindType=Y&amp;SerialNum=2023637124",115)</f>
        <v>115</v>
      </c>
      <c r="B171" s="138" t="s">
        <v>6580</v>
      </c>
      <c r="C171" s="138" t="s">
        <v>6581</v>
      </c>
      <c r="D171" s="139"/>
      <c r="E171" s="139"/>
      <c r="F171" s="139" t="s">
        <v>78</v>
      </c>
      <c r="G171" s="139" t="s">
        <v>167</v>
      </c>
      <c r="H171" s="139" t="s">
        <v>79</v>
      </c>
      <c r="I171" s="139" t="s">
        <v>49</v>
      </c>
      <c r="J171" s="139"/>
    </row>
    <row r="172" spans="1:10" ht="132">
      <c r="A172" s="137">
        <f>HYPERLINK("http://www.westlaw.com/Find/Default.wl?rs=dfa1.0&amp;vr=2.0&amp;DB=506&amp;FindType=Y&amp;SerialNum=2023429401",117)</f>
        <v>117</v>
      </c>
      <c r="B172" s="138" t="s">
        <v>4103</v>
      </c>
      <c r="C172" s="138" t="s">
        <v>6582</v>
      </c>
      <c r="D172" s="139"/>
      <c r="E172" s="139"/>
      <c r="F172" s="139" t="s">
        <v>78</v>
      </c>
      <c r="G172" s="139" t="s">
        <v>79</v>
      </c>
      <c r="H172" s="139" t="s">
        <v>47</v>
      </c>
      <c r="I172" s="139" t="s">
        <v>49</v>
      </c>
      <c r="J172" s="139"/>
    </row>
    <row r="173" spans="1:10" ht="72">
      <c r="A173" s="137">
        <f>HYPERLINK("http://www.westlaw.com/Find/Default.wl?rs=dfa1.0&amp;vr=2.0&amp;DB=506&amp;FindType=Y&amp;SerialNum=2023416568",118)</f>
        <v>118</v>
      </c>
      <c r="B173" s="138" t="s">
        <v>6583</v>
      </c>
      <c r="C173" s="138" t="s">
        <v>6584</v>
      </c>
      <c r="D173" s="139"/>
      <c r="E173" s="139"/>
      <c r="F173" s="139" t="s">
        <v>78</v>
      </c>
      <c r="G173" s="139" t="s">
        <v>167</v>
      </c>
      <c r="H173" s="139" t="s">
        <v>47</v>
      </c>
      <c r="I173" s="139" t="s">
        <v>49</v>
      </c>
      <c r="J173" s="139"/>
    </row>
    <row r="174" spans="1:10" ht="84">
      <c r="A174" s="137">
        <f>HYPERLINK("http://www.westlaw.com/Find/Default.wl?rs=dfa1.0&amp;vr=2.0&amp;DB=506&amp;FindType=Y&amp;SerialNum=2023374380",119)</f>
        <v>119</v>
      </c>
      <c r="B174" s="138" t="s">
        <v>6585</v>
      </c>
      <c r="C174" s="138" t="s">
        <v>6586</v>
      </c>
      <c r="D174" s="139"/>
      <c r="E174" s="139"/>
      <c r="F174" s="139" t="s">
        <v>78</v>
      </c>
      <c r="G174" s="139" t="s">
        <v>79</v>
      </c>
      <c r="H174" s="139" t="s">
        <v>100</v>
      </c>
      <c r="I174" s="139" t="s">
        <v>49</v>
      </c>
      <c r="J174" s="139"/>
    </row>
    <row r="175" spans="1:10" ht="73">
      <c r="A175" s="137">
        <f>HYPERLINK("http://www.westlaw.com/Find/Default.wl?rs=dfa1.0&amp;vr=2.0&amp;DB=6538&amp;FindType=Y&amp;SerialNum=2023286552",120)</f>
        <v>120</v>
      </c>
      <c r="B175" s="138" t="s">
        <v>6587</v>
      </c>
      <c r="C175" s="138" t="s">
        <v>6588</v>
      </c>
      <c r="D175" s="139"/>
      <c r="E175" s="139"/>
      <c r="F175" s="139" t="s">
        <v>78</v>
      </c>
      <c r="G175" s="139" t="s">
        <v>79</v>
      </c>
      <c r="H175" s="139" t="s">
        <v>111</v>
      </c>
      <c r="I175" s="139" t="s">
        <v>49</v>
      </c>
      <c r="J175" s="139" t="s">
        <v>6589</v>
      </c>
    </row>
    <row r="176" spans="1:10" ht="72">
      <c r="A176" s="137">
        <f>HYPERLINK("http://www.westlaw.com/Find/Default.wl?rs=dfa1.0&amp;vr=2.0&amp;FindType=Y&amp;SerialNum=2026201748",122)</f>
        <v>122</v>
      </c>
      <c r="B176" s="138" t="s">
        <v>6590</v>
      </c>
      <c r="C176" s="138" t="s">
        <v>6591</v>
      </c>
      <c r="D176" s="139"/>
      <c r="E176" s="139"/>
      <c r="F176" s="139" t="s">
        <v>78</v>
      </c>
      <c r="G176" s="139" t="s">
        <v>167</v>
      </c>
      <c r="H176" s="139" t="s">
        <v>100</v>
      </c>
      <c r="I176" s="139" t="s">
        <v>49</v>
      </c>
      <c r="J176" s="139" t="s">
        <v>6592</v>
      </c>
    </row>
    <row r="177" spans="1:10" ht="60">
      <c r="A177" s="137">
        <f>HYPERLINK("http://www.westlaw.com/Find/Default.wl?rs=dfa1.0&amp;vr=2.0&amp;FindType=Y&amp;SerialNum=2026141759",123)</f>
        <v>123</v>
      </c>
      <c r="B177" s="138" t="s">
        <v>6593</v>
      </c>
      <c r="C177" s="138" t="s">
        <v>6594</v>
      </c>
      <c r="D177" s="139"/>
      <c r="E177" s="139"/>
      <c r="F177" s="139" t="s">
        <v>78</v>
      </c>
      <c r="G177" s="139" t="s">
        <v>79</v>
      </c>
      <c r="H177" s="139" t="s">
        <v>100</v>
      </c>
      <c r="I177" s="139" t="s">
        <v>49</v>
      </c>
      <c r="J177" s="139"/>
    </row>
    <row r="178" spans="1:10" ht="60">
      <c r="A178" s="137">
        <f>HYPERLINK("http://www.westlaw.com/Find/Default.wl?rs=dfa1.0&amp;vr=2.0&amp;FindType=Y&amp;SerialNum=2025961657",124)</f>
        <v>124</v>
      </c>
      <c r="B178" s="138" t="s">
        <v>6595</v>
      </c>
      <c r="C178" s="138" t="s">
        <v>6596</v>
      </c>
      <c r="D178" s="139"/>
      <c r="E178" s="139"/>
      <c r="F178" s="139" t="s">
        <v>78</v>
      </c>
      <c r="G178" s="139" t="s">
        <v>167</v>
      </c>
      <c r="H178" s="139" t="s">
        <v>79</v>
      </c>
      <c r="I178" s="139" t="s">
        <v>49</v>
      </c>
      <c r="J178" s="139"/>
    </row>
    <row r="179" spans="1:10" ht="72">
      <c r="A179" s="137">
        <f>HYPERLINK("http://www.westlaw.com/Find/Default.wl?rs=dfa1.0&amp;vr=2.0&amp;FindType=Y&amp;SerialNum=2025928378",125)</f>
        <v>125</v>
      </c>
      <c r="B179" s="138" t="s">
        <v>6597</v>
      </c>
      <c r="C179" s="138" t="s">
        <v>6598</v>
      </c>
      <c r="D179" s="139"/>
      <c r="E179" s="139"/>
      <c r="F179" s="139" t="s">
        <v>78</v>
      </c>
      <c r="G179" s="139" t="s">
        <v>167</v>
      </c>
      <c r="H179" s="139" t="s">
        <v>111</v>
      </c>
      <c r="I179" s="139" t="s">
        <v>49</v>
      </c>
      <c r="J179" s="139" t="s">
        <v>6599</v>
      </c>
    </row>
    <row r="180" spans="1:10" ht="60">
      <c r="A180" s="137">
        <f>HYPERLINK("http://www.westlaw.com/Find/Default.wl?rs=dfa1.0&amp;vr=2.0&amp;FindType=Y&amp;SerialNum=2026180122",126)</f>
        <v>126</v>
      </c>
      <c r="B180" s="138" t="s">
        <v>6600</v>
      </c>
      <c r="C180" s="138" t="s">
        <v>6601</v>
      </c>
      <c r="D180" s="139"/>
      <c r="E180" s="139"/>
      <c r="F180" s="139" t="s">
        <v>78</v>
      </c>
      <c r="G180" s="139" t="s">
        <v>167</v>
      </c>
      <c r="H180" s="139" t="s">
        <v>47</v>
      </c>
      <c r="I180" s="139" t="s">
        <v>49</v>
      </c>
      <c r="J180" s="139"/>
    </row>
    <row r="181" spans="1:10" ht="72">
      <c r="A181" s="137">
        <f>HYPERLINK("http://www.westlaw.com/Find/Default.wl?rs=dfa1.0&amp;vr=2.0&amp;FindType=Y&amp;SerialNum=2025869724",127)</f>
        <v>127</v>
      </c>
      <c r="B181" s="138" t="s">
        <v>6602</v>
      </c>
      <c r="C181" s="138" t="s">
        <v>6603</v>
      </c>
      <c r="D181" s="139"/>
      <c r="E181" s="139"/>
      <c r="F181" s="139" t="s">
        <v>78</v>
      </c>
      <c r="G181" s="139" t="s">
        <v>167</v>
      </c>
      <c r="H181" s="139" t="s">
        <v>47</v>
      </c>
      <c r="I181" s="139" t="s">
        <v>49</v>
      </c>
      <c r="J181" s="139"/>
    </row>
    <row r="182" spans="1:10" ht="72">
      <c r="A182" s="137">
        <f>HYPERLINK("http://www.westlaw.com/Find/Default.wl?rs=dfa1.0&amp;vr=2.0&amp;FindType=Y&amp;SerialNum=2025831024",128)</f>
        <v>128</v>
      </c>
      <c r="B182" s="138" t="s">
        <v>6604</v>
      </c>
      <c r="C182" s="138" t="s">
        <v>6605</v>
      </c>
      <c r="D182" s="139"/>
      <c r="E182" s="139"/>
      <c r="F182" s="139" t="s">
        <v>78</v>
      </c>
      <c r="G182" s="139" t="s">
        <v>79</v>
      </c>
      <c r="H182" s="139" t="s">
        <v>79</v>
      </c>
      <c r="I182" s="139" t="s">
        <v>49</v>
      </c>
      <c r="J182" s="139"/>
    </row>
    <row r="183" spans="1:10" ht="60">
      <c r="A183" s="137">
        <f>HYPERLINK("http://www.westlaw.com/Find/Default.wl?rs=dfa1.0&amp;vr=2.0&amp;FindType=Y&amp;SerialNum=2025830878",129)</f>
        <v>129</v>
      </c>
      <c r="B183" s="138" t="s">
        <v>6606</v>
      </c>
      <c r="C183" s="138" t="s">
        <v>6607</v>
      </c>
      <c r="D183" s="139"/>
      <c r="E183" s="139"/>
      <c r="F183" s="139" t="s">
        <v>78</v>
      </c>
      <c r="G183" s="139" t="s">
        <v>79</v>
      </c>
      <c r="H183" s="139" t="s">
        <v>100</v>
      </c>
      <c r="I183" s="139" t="s">
        <v>49</v>
      </c>
      <c r="J183" s="139"/>
    </row>
    <row r="184" spans="1:10" ht="60">
      <c r="A184" s="137">
        <f>HYPERLINK("http://www.westlaw.com/Find/Default.wl?rs=dfa1.0&amp;vr=2.0&amp;FindType=Y&amp;SerialNum=2025811177",130)</f>
        <v>130</v>
      </c>
      <c r="B184" s="138" t="s">
        <v>6608</v>
      </c>
      <c r="C184" s="138" t="s">
        <v>6609</v>
      </c>
      <c r="D184" s="139"/>
      <c r="E184" s="139"/>
      <c r="F184" s="139" t="s">
        <v>78</v>
      </c>
      <c r="G184" s="139" t="s">
        <v>79</v>
      </c>
      <c r="H184" s="139" t="s">
        <v>79</v>
      </c>
      <c r="I184" s="139" t="s">
        <v>49</v>
      </c>
      <c r="J184" s="139" t="s">
        <v>6514</v>
      </c>
    </row>
    <row r="185" spans="1:10" ht="60">
      <c r="A185" s="137">
        <f>HYPERLINK("http://www.westlaw.com/Find/Default.wl?rs=dfa1.0&amp;vr=2.0&amp;FindType=Y&amp;SerialNum=2026064709",131)</f>
        <v>131</v>
      </c>
      <c r="B185" s="138" t="s">
        <v>6610</v>
      </c>
      <c r="C185" s="138" t="s">
        <v>6611</v>
      </c>
      <c r="D185" s="139"/>
      <c r="E185" s="139"/>
      <c r="F185" s="139" t="s">
        <v>78</v>
      </c>
      <c r="G185" s="139" t="s">
        <v>167</v>
      </c>
      <c r="H185" s="139" t="s">
        <v>79</v>
      </c>
      <c r="I185" s="139" t="s">
        <v>49</v>
      </c>
      <c r="J185" s="139"/>
    </row>
    <row r="186" spans="1:10" ht="72">
      <c r="A186" s="137">
        <f>HYPERLINK("http://www.westlaw.com/Find/Default.wl?rs=dfa1.0&amp;vr=2.0&amp;FindType=Y&amp;SerialNum=2025803200",132)</f>
        <v>132</v>
      </c>
      <c r="B186" s="138" t="s">
        <v>6612</v>
      </c>
      <c r="C186" s="138" t="s">
        <v>6613</v>
      </c>
      <c r="D186" s="139"/>
      <c r="E186" s="139"/>
      <c r="F186" s="139" t="s">
        <v>78</v>
      </c>
      <c r="G186" s="139" t="s">
        <v>167</v>
      </c>
      <c r="H186" s="139" t="s">
        <v>6614</v>
      </c>
      <c r="I186" s="139" t="s">
        <v>49</v>
      </c>
      <c r="J186" s="139"/>
    </row>
    <row r="187" spans="1:10" ht="60">
      <c r="A187" s="137">
        <f>HYPERLINK("http://www.westlaw.com/Find/Default.wl?rs=dfa1.0&amp;vr=2.0&amp;FindType=Y&amp;SerialNum=2025783696",133)</f>
        <v>133</v>
      </c>
      <c r="B187" s="138" t="s">
        <v>6615</v>
      </c>
      <c r="C187" s="138" t="s">
        <v>6616</v>
      </c>
      <c r="D187" s="139"/>
      <c r="E187" s="139"/>
      <c r="F187" s="139" t="s">
        <v>78</v>
      </c>
      <c r="G187" s="139" t="s">
        <v>167</v>
      </c>
      <c r="H187" s="139" t="s">
        <v>79</v>
      </c>
      <c r="I187" s="139" t="s">
        <v>49</v>
      </c>
      <c r="J187" s="139"/>
    </row>
    <row r="188" spans="1:10" ht="84">
      <c r="A188" s="137">
        <f>HYPERLINK("http://www.westlaw.com/Find/Default.wl?rs=dfa1.0&amp;vr=2.0&amp;FindType=Y&amp;SerialNum=2025965604",134)</f>
        <v>134</v>
      </c>
      <c r="B188" s="138" t="s">
        <v>6617</v>
      </c>
      <c r="C188" s="138" t="s">
        <v>6618</v>
      </c>
      <c r="D188" s="139"/>
      <c r="E188" s="139"/>
      <c r="F188" s="139" t="s">
        <v>78</v>
      </c>
      <c r="G188" s="139" t="s">
        <v>79</v>
      </c>
      <c r="H188" s="139" t="s">
        <v>79</v>
      </c>
      <c r="I188" s="139" t="s">
        <v>49</v>
      </c>
      <c r="J188" s="139"/>
    </row>
    <row r="189" spans="1:10" ht="72">
      <c r="A189" s="137">
        <f>HYPERLINK("http://www.westlaw.com/Find/Default.wl?rs=dfa1.0&amp;vr=2.0&amp;FindType=Y&amp;SerialNum=2025753447",135)</f>
        <v>135</v>
      </c>
      <c r="B189" s="138" t="s">
        <v>6619</v>
      </c>
      <c r="C189" s="138" t="s">
        <v>6620</v>
      </c>
      <c r="D189" s="139"/>
      <c r="E189" s="139"/>
      <c r="F189" s="139" t="s">
        <v>78</v>
      </c>
      <c r="G189" s="139" t="s">
        <v>79</v>
      </c>
      <c r="H189" s="139" t="s">
        <v>79</v>
      </c>
      <c r="I189" s="139" t="s">
        <v>49</v>
      </c>
      <c r="J189" s="139"/>
    </row>
    <row r="190" spans="1:10" ht="60">
      <c r="A190" s="137">
        <f>HYPERLINK("http://www.westlaw.com/Find/Default.wl?rs=dfa1.0&amp;vr=2.0&amp;FindType=Y&amp;SerialNum=2025763553",137)</f>
        <v>137</v>
      </c>
      <c r="B190" s="138" t="s">
        <v>6621</v>
      </c>
      <c r="C190" s="138" t="s">
        <v>6622</v>
      </c>
      <c r="D190" s="139"/>
      <c r="E190" s="139"/>
      <c r="F190" s="139" t="s">
        <v>78</v>
      </c>
      <c r="G190" s="139" t="s">
        <v>79</v>
      </c>
      <c r="H190" s="139" t="s">
        <v>5325</v>
      </c>
      <c r="I190" s="139" t="s">
        <v>49</v>
      </c>
      <c r="J190" s="139"/>
    </row>
    <row r="191" spans="1:10" ht="84">
      <c r="A191" s="137">
        <f>HYPERLINK("http://www.westlaw.com/Find/Default.wl?rs=dfa1.0&amp;vr=2.0&amp;FindType=Y&amp;SerialNum=2025753772",138)</f>
        <v>138</v>
      </c>
      <c r="B191" s="138" t="s">
        <v>6623</v>
      </c>
      <c r="C191" s="138" t="s">
        <v>6624</v>
      </c>
      <c r="D191" s="139"/>
      <c r="E191" s="139"/>
      <c r="F191" s="139" t="s">
        <v>78</v>
      </c>
      <c r="G191" s="139" t="s">
        <v>167</v>
      </c>
      <c r="H191" s="139" t="s">
        <v>111</v>
      </c>
      <c r="I191" s="139" t="s">
        <v>49</v>
      </c>
      <c r="J191" s="139" t="s">
        <v>6625</v>
      </c>
    </row>
    <row r="192" spans="1:10" ht="84">
      <c r="A192" s="137">
        <f>HYPERLINK("http://www.westlaw.com/Find/Default.wl?rs=dfa1.0&amp;vr=2.0&amp;FindType=Y&amp;SerialNum=2025759479",139)</f>
        <v>139</v>
      </c>
      <c r="B192" s="138" t="s">
        <v>6626</v>
      </c>
      <c r="C192" s="138" t="s">
        <v>6627</v>
      </c>
      <c r="D192" s="139"/>
      <c r="E192" s="139"/>
      <c r="F192" s="139" t="s">
        <v>78</v>
      </c>
      <c r="G192" s="139" t="s">
        <v>167</v>
      </c>
      <c r="H192" s="139" t="s">
        <v>79</v>
      </c>
      <c r="I192" s="139" t="s">
        <v>49</v>
      </c>
      <c r="J192" s="139" t="s">
        <v>6514</v>
      </c>
    </row>
    <row r="193" spans="1:10" ht="72">
      <c r="A193" s="137">
        <f>HYPERLINK("http://www.westlaw.com/Find/Default.wl?rs=dfa1.0&amp;vr=2.0&amp;FindType=Y&amp;SerialNum=2025668603",140)</f>
        <v>140</v>
      </c>
      <c r="B193" s="138" t="s">
        <v>6628</v>
      </c>
      <c r="C193" s="138" t="s">
        <v>6629</v>
      </c>
      <c r="D193" s="139"/>
      <c r="E193" s="139"/>
      <c r="F193" s="139" t="s">
        <v>78</v>
      </c>
      <c r="G193" s="139" t="s">
        <v>167</v>
      </c>
      <c r="H193" s="139" t="s">
        <v>79</v>
      </c>
      <c r="I193" s="139" t="s">
        <v>49</v>
      </c>
      <c r="J193" s="139"/>
    </row>
    <row r="194" spans="1:10" ht="72">
      <c r="A194" s="137">
        <f>HYPERLINK("http://www.westlaw.com/Find/Default.wl?rs=dfa1.0&amp;vr=2.0&amp;FindType=Y&amp;SerialNum=2025664556",141)</f>
        <v>141</v>
      </c>
      <c r="B194" s="138" t="s">
        <v>6630</v>
      </c>
      <c r="C194" s="138" t="s">
        <v>6631</v>
      </c>
      <c r="D194" s="139"/>
      <c r="E194" s="139"/>
      <c r="F194" s="139" t="s">
        <v>78</v>
      </c>
      <c r="G194" s="139" t="s">
        <v>79</v>
      </c>
      <c r="H194" s="139" t="s">
        <v>79</v>
      </c>
      <c r="I194" s="139" t="s">
        <v>49</v>
      </c>
      <c r="J194" s="139"/>
    </row>
    <row r="195" spans="1:10" ht="60">
      <c r="A195" s="137">
        <f>HYPERLINK("http://www.westlaw.com/Find/Default.wl?rs=dfa1.0&amp;vr=2.0&amp;FindType=Y&amp;SerialNum=2026169340",142)</f>
        <v>142</v>
      </c>
      <c r="B195" s="138" t="s">
        <v>657</v>
      </c>
      <c r="C195" s="138" t="s">
        <v>6632</v>
      </c>
      <c r="D195" s="139"/>
      <c r="E195" s="139"/>
      <c r="F195" s="139" t="s">
        <v>78</v>
      </c>
      <c r="G195" s="139" t="s">
        <v>167</v>
      </c>
      <c r="H195" s="139" t="s">
        <v>100</v>
      </c>
      <c r="I195" s="139" t="s">
        <v>49</v>
      </c>
      <c r="J195" s="139"/>
    </row>
    <row r="196" spans="1:10" ht="72">
      <c r="A196" s="137">
        <f>HYPERLINK("http://www.westlaw.com/Find/Default.wl?rs=dfa1.0&amp;vr=2.0&amp;FindType=Y&amp;SerialNum=2025553151",145)</f>
        <v>145</v>
      </c>
      <c r="B196" s="138" t="s">
        <v>6633</v>
      </c>
      <c r="C196" s="138" t="s">
        <v>6634</v>
      </c>
      <c r="D196" s="139"/>
      <c r="E196" s="139"/>
      <c r="F196" s="139" t="s">
        <v>78</v>
      </c>
      <c r="G196" s="139" t="s">
        <v>167</v>
      </c>
      <c r="H196" s="139" t="s">
        <v>111</v>
      </c>
      <c r="I196" s="139" t="s">
        <v>49</v>
      </c>
      <c r="J196" s="139" t="s">
        <v>6635</v>
      </c>
    </row>
    <row r="197" spans="1:10" ht="60">
      <c r="A197" s="137">
        <f>HYPERLINK("http://www.westlaw.com/Find/Default.wl?rs=dfa1.0&amp;vr=2.0&amp;FindType=Y&amp;SerialNum=2025548100",146)</f>
        <v>146</v>
      </c>
      <c r="B197" s="138" t="s">
        <v>6636</v>
      </c>
      <c r="C197" s="138" t="s">
        <v>6637</v>
      </c>
      <c r="D197" s="139"/>
      <c r="E197" s="139"/>
      <c r="F197" s="139" t="s">
        <v>78</v>
      </c>
      <c r="G197" s="139" t="s">
        <v>79</v>
      </c>
      <c r="H197" s="139" t="s">
        <v>79</v>
      </c>
      <c r="I197" s="139" t="s">
        <v>49</v>
      </c>
      <c r="J197" s="139"/>
    </row>
    <row r="198" spans="1:10" ht="72">
      <c r="A198" s="137">
        <f>HYPERLINK("http://www.westlaw.com/Find/Default.wl?rs=dfa1.0&amp;vr=2.0&amp;FindType=Y&amp;SerialNum=2025530342",147)</f>
        <v>147</v>
      </c>
      <c r="B198" s="138" t="s">
        <v>6638</v>
      </c>
      <c r="C198" s="138" t="s">
        <v>6639</v>
      </c>
      <c r="D198" s="139"/>
      <c r="E198" s="139"/>
      <c r="F198" s="139" t="s">
        <v>78</v>
      </c>
      <c r="G198" s="139" t="s">
        <v>79</v>
      </c>
      <c r="H198" s="139" t="s">
        <v>47</v>
      </c>
      <c r="I198" s="139" t="s">
        <v>49</v>
      </c>
      <c r="J198" s="139"/>
    </row>
    <row r="199" spans="1:10" ht="72">
      <c r="A199" s="137">
        <f>HYPERLINK("http://www.westlaw.com/Find/Default.wl?rs=dfa1.0&amp;vr=2.0&amp;FindType=Y&amp;SerialNum=2025798217",150)</f>
        <v>150</v>
      </c>
      <c r="B199" s="138" t="s">
        <v>6640</v>
      </c>
      <c r="C199" s="138" t="s">
        <v>6641</v>
      </c>
      <c r="D199" s="139"/>
      <c r="E199" s="139"/>
      <c r="F199" s="139" t="s">
        <v>78</v>
      </c>
      <c r="G199" s="139" t="s">
        <v>79</v>
      </c>
      <c r="H199" s="139" t="s">
        <v>47</v>
      </c>
      <c r="I199" s="139" t="s">
        <v>49</v>
      </c>
      <c r="J199" s="139"/>
    </row>
    <row r="200" spans="1:10" ht="60">
      <c r="A200" s="137">
        <f>HYPERLINK("http://www.westlaw.com/Find/Default.wl?rs=dfa1.0&amp;vr=2.0&amp;FindType=Y&amp;SerialNum=2025853087",151)</f>
        <v>151</v>
      </c>
      <c r="B200" s="138" t="s">
        <v>6642</v>
      </c>
      <c r="C200" s="138" t="s">
        <v>6643</v>
      </c>
      <c r="D200" s="139"/>
      <c r="E200" s="139"/>
      <c r="F200" s="139" t="s">
        <v>78</v>
      </c>
      <c r="G200" s="139" t="s">
        <v>79</v>
      </c>
      <c r="H200" s="139" t="s">
        <v>100</v>
      </c>
      <c r="I200" s="139" t="s">
        <v>49</v>
      </c>
      <c r="J200" s="139"/>
    </row>
    <row r="201" spans="1:10" s="56" customFormat="1" ht="60">
      <c r="A201" s="137">
        <f>HYPERLINK("http://www.westlaw.com/Find/Default.wl?rs=dfa1.0&amp;vr=2.0&amp;FindType=Y&amp;SerialNum=2025629811",153)</f>
        <v>153</v>
      </c>
      <c r="B201" s="138" t="s">
        <v>6644</v>
      </c>
      <c r="C201" s="138" t="s">
        <v>6645</v>
      </c>
      <c r="D201" s="139"/>
      <c r="E201" s="139"/>
      <c r="F201" s="139" t="s">
        <v>78</v>
      </c>
      <c r="G201" s="139" t="s">
        <v>79</v>
      </c>
      <c r="H201" s="139" t="s">
        <v>100</v>
      </c>
      <c r="I201" s="139" t="s">
        <v>49</v>
      </c>
      <c r="J201" s="139"/>
    </row>
    <row r="202" spans="1:10" ht="72">
      <c r="A202" s="137">
        <f>HYPERLINK("http://www.westlaw.com/Find/Default.wl?rs=dfa1.0&amp;vr=2.0&amp;FindType=Y&amp;SerialNum=2025916810",157)</f>
        <v>157</v>
      </c>
      <c r="B202" s="138" t="s">
        <v>6648</v>
      </c>
      <c r="C202" s="138" t="s">
        <v>6649</v>
      </c>
      <c r="D202" s="139"/>
      <c r="E202" s="139"/>
      <c r="F202" s="139" t="s">
        <v>78</v>
      </c>
      <c r="G202" s="139" t="s">
        <v>167</v>
      </c>
      <c r="H202" s="139" t="s">
        <v>625</v>
      </c>
      <c r="I202" s="139" t="s">
        <v>49</v>
      </c>
      <c r="J202" s="139"/>
    </row>
    <row r="203" spans="1:10" ht="60">
      <c r="A203" s="137">
        <f>HYPERLINK("http://www.westlaw.com/Find/Default.wl?rs=dfa1.0&amp;vr=2.0&amp;FindType=Y&amp;SerialNum=2025350407",160)</f>
        <v>160</v>
      </c>
      <c r="B203" s="138" t="s">
        <v>6650</v>
      </c>
      <c r="C203" s="138" t="s">
        <v>6651</v>
      </c>
      <c r="D203" s="139"/>
      <c r="E203" s="139"/>
      <c r="F203" s="139" t="s">
        <v>78</v>
      </c>
      <c r="G203" s="139" t="s">
        <v>167</v>
      </c>
      <c r="H203" s="139" t="s">
        <v>79</v>
      </c>
      <c r="I203" s="139" t="s">
        <v>49</v>
      </c>
      <c r="J203" s="139"/>
    </row>
    <row r="204" spans="1:10" ht="72">
      <c r="A204" s="137">
        <f>HYPERLINK("http://www.westlaw.com/Find/Default.wl?rs=dfa1.0&amp;vr=2.0&amp;FindType=Y&amp;SerialNum=2025337976",161)</f>
        <v>161</v>
      </c>
      <c r="B204" s="138" t="s">
        <v>6652</v>
      </c>
      <c r="C204" s="138" t="s">
        <v>6653</v>
      </c>
      <c r="D204" s="139"/>
      <c r="E204" s="139"/>
      <c r="F204" s="139" t="s">
        <v>78</v>
      </c>
      <c r="G204" s="139" t="s">
        <v>79</v>
      </c>
      <c r="H204" s="139" t="s">
        <v>5325</v>
      </c>
      <c r="I204" s="139" t="s">
        <v>49</v>
      </c>
      <c r="J204" s="139"/>
    </row>
    <row r="205" spans="1:10" ht="84">
      <c r="A205" s="137">
        <f>HYPERLINK("http://www.westlaw.com/Find/Default.wl?rs=dfa1.0&amp;vr=2.0&amp;DB=164&amp;FindType=Y&amp;SerialNum=2025403421",162)</f>
        <v>162</v>
      </c>
      <c r="B205" s="138" t="s">
        <v>6654</v>
      </c>
      <c r="C205" s="138" t="s">
        <v>6655</v>
      </c>
      <c r="D205" s="139"/>
      <c r="E205" s="139"/>
      <c r="F205" s="139" t="s">
        <v>78</v>
      </c>
      <c r="G205" s="139" t="s">
        <v>79</v>
      </c>
      <c r="H205" s="139" t="s">
        <v>79</v>
      </c>
      <c r="I205" s="139" t="s">
        <v>49</v>
      </c>
      <c r="J205" s="139"/>
    </row>
    <row r="206" spans="1:10" ht="72">
      <c r="A206" s="137">
        <f>HYPERLINK("http://www.westlaw.com/Find/Default.wl?rs=dfa1.0&amp;vr=2.0&amp;FindType=Y&amp;SerialNum=2025286571",164)</f>
        <v>164</v>
      </c>
      <c r="B206" s="138" t="s">
        <v>6656</v>
      </c>
      <c r="C206" s="138" t="s">
        <v>6657</v>
      </c>
      <c r="D206" s="139"/>
      <c r="E206" s="139"/>
      <c r="F206" s="139" t="s">
        <v>78</v>
      </c>
      <c r="G206" s="139" t="s">
        <v>79</v>
      </c>
      <c r="H206" s="139" t="s">
        <v>100</v>
      </c>
      <c r="I206" s="139" t="s">
        <v>49</v>
      </c>
      <c r="J206" s="139"/>
    </row>
    <row r="207" spans="1:10" ht="60">
      <c r="A207" s="137">
        <f>HYPERLINK("http://www.westlaw.com/Find/Default.wl?rs=dfa1.0&amp;vr=2.0&amp;FindType=Y&amp;SerialNum=2025276039",165)</f>
        <v>165</v>
      </c>
      <c r="B207" s="138" t="s">
        <v>6658</v>
      </c>
      <c r="C207" s="138" t="s">
        <v>6659</v>
      </c>
      <c r="D207" s="139"/>
      <c r="E207" s="139"/>
      <c r="F207" s="139" t="s">
        <v>78</v>
      </c>
      <c r="G207" s="139" t="s">
        <v>167</v>
      </c>
      <c r="H207" s="139" t="s">
        <v>47</v>
      </c>
      <c r="I207" s="139" t="s">
        <v>49</v>
      </c>
      <c r="J207" s="139"/>
    </row>
    <row r="208" spans="1:10" ht="72">
      <c r="A208" s="137">
        <f>HYPERLINK("http://www.westlaw.com/Find/Default.wl?rs=dfa1.0&amp;vr=2.0&amp;DB=164&amp;FindType=Y&amp;SerialNum=2025173052",166)</f>
        <v>166</v>
      </c>
      <c r="B208" s="138" t="s">
        <v>6660</v>
      </c>
      <c r="C208" s="138" t="s">
        <v>6661</v>
      </c>
      <c r="D208" s="139"/>
      <c r="E208" s="139"/>
      <c r="F208" s="139" t="s">
        <v>78</v>
      </c>
      <c r="G208" s="139" t="s">
        <v>79</v>
      </c>
      <c r="H208" s="139" t="s">
        <v>47</v>
      </c>
      <c r="I208" s="139" t="s">
        <v>49</v>
      </c>
      <c r="J208" s="139"/>
    </row>
    <row r="209" spans="1:10" ht="60">
      <c r="A209" s="137">
        <f>HYPERLINK("http://www.westlaw.com/Find/Default.wl?rs=dfa1.0&amp;vr=2.0&amp;FindType=Y&amp;SerialNum=2025900163",167)</f>
        <v>167</v>
      </c>
      <c r="B209" s="138" t="s">
        <v>6662</v>
      </c>
      <c r="C209" s="138" t="s">
        <v>6663</v>
      </c>
      <c r="D209" s="139"/>
      <c r="E209" s="139"/>
      <c r="F209" s="139" t="s">
        <v>78</v>
      </c>
      <c r="G209" s="139" t="s">
        <v>167</v>
      </c>
      <c r="H209" s="139" t="s">
        <v>100</v>
      </c>
      <c r="I209" s="139" t="s">
        <v>49</v>
      </c>
      <c r="J209" s="139"/>
    </row>
    <row r="210" spans="1:10" ht="72">
      <c r="A210" s="137">
        <f>HYPERLINK("http://www.westlaw.com/Find/Default.wl?rs=dfa1.0&amp;vr=2.0&amp;FindType=Y&amp;SerialNum=2025152690",168)</f>
        <v>168</v>
      </c>
      <c r="B210" s="138" t="s">
        <v>6664</v>
      </c>
      <c r="C210" s="138" t="s">
        <v>6665</v>
      </c>
      <c r="D210" s="139"/>
      <c r="E210" s="139"/>
      <c r="F210" s="139" t="s">
        <v>78</v>
      </c>
      <c r="G210" s="139" t="s">
        <v>167</v>
      </c>
      <c r="H210" s="139" t="s">
        <v>47</v>
      </c>
      <c r="I210" s="139" t="s">
        <v>49</v>
      </c>
      <c r="J210" s="139"/>
    </row>
    <row r="211" spans="1:10" ht="60">
      <c r="A211" s="137">
        <f>HYPERLINK("http://www.westlaw.com/Find/Default.wl?rs=dfa1.0&amp;vr=2.0&amp;FindType=Y&amp;SerialNum=2025285974",169)</f>
        <v>169</v>
      </c>
      <c r="B211" s="138" t="s">
        <v>6666</v>
      </c>
      <c r="C211" s="138" t="s">
        <v>6667</v>
      </c>
      <c r="D211" s="139"/>
      <c r="E211" s="139"/>
      <c r="F211" s="139" t="s">
        <v>78</v>
      </c>
      <c r="G211" s="139" t="s">
        <v>79</v>
      </c>
      <c r="H211" s="139" t="s">
        <v>47</v>
      </c>
      <c r="I211" s="139" t="s">
        <v>49</v>
      </c>
      <c r="J211" s="139"/>
    </row>
    <row r="212" spans="1:10" ht="72">
      <c r="A212" s="137">
        <f>HYPERLINK("http://www.westlaw.com/Find/Default.wl?rs=dfa1.0&amp;vr=2.0&amp;FindType=Y&amp;SerialNum=2024988897",170)</f>
        <v>170</v>
      </c>
      <c r="B212" s="138" t="s">
        <v>6668</v>
      </c>
      <c r="C212" s="138" t="s">
        <v>6669</v>
      </c>
      <c r="D212" s="139"/>
      <c r="E212" s="139"/>
      <c r="F212" s="139" t="s">
        <v>78</v>
      </c>
      <c r="G212" s="139" t="s">
        <v>167</v>
      </c>
      <c r="H212" s="139" t="s">
        <v>6670</v>
      </c>
      <c r="I212" s="139" t="s">
        <v>49</v>
      </c>
      <c r="J212" s="139"/>
    </row>
    <row r="213" spans="1:10" ht="60">
      <c r="A213" s="137">
        <f>HYPERLINK("http://www.westlaw.com/Find/Default.wl?rs=dfa1.0&amp;vr=2.0&amp;FindType=Y&amp;SerialNum=2024982457",171)</f>
        <v>171</v>
      </c>
      <c r="B213" s="138" t="s">
        <v>6671</v>
      </c>
      <c r="C213" s="138" t="s">
        <v>6672</v>
      </c>
      <c r="D213" s="139"/>
      <c r="E213" s="139"/>
      <c r="F213" s="139" t="s">
        <v>78</v>
      </c>
      <c r="G213" s="139" t="s">
        <v>167</v>
      </c>
      <c r="H213" s="139" t="s">
        <v>79</v>
      </c>
      <c r="I213" s="139" t="s">
        <v>49</v>
      </c>
      <c r="J213" s="139"/>
    </row>
    <row r="214" spans="1:10" ht="60">
      <c r="A214" s="137">
        <f>HYPERLINK("http://www.westlaw.com/Find/Default.wl?rs=dfa1.0&amp;vr=2.0&amp;FindType=Y&amp;SerialNum=2024972395",172)</f>
        <v>172</v>
      </c>
      <c r="B214" s="138" t="s">
        <v>6673</v>
      </c>
      <c r="C214" s="138" t="s">
        <v>6674</v>
      </c>
      <c r="D214" s="139"/>
      <c r="E214" s="139"/>
      <c r="F214" s="139" t="s">
        <v>78</v>
      </c>
      <c r="G214" s="139" t="s">
        <v>167</v>
      </c>
      <c r="H214" s="139" t="s">
        <v>79</v>
      </c>
      <c r="I214" s="139" t="s">
        <v>49</v>
      </c>
      <c r="J214" s="139" t="s">
        <v>6514</v>
      </c>
    </row>
    <row r="215" spans="1:10" ht="84">
      <c r="A215" s="137">
        <f>HYPERLINK("http://www.westlaw.com/Find/Default.wl?rs=dfa1.0&amp;vr=2.0&amp;DB=868&amp;FindType=Y&amp;SerialNum=2024955849",173)</f>
        <v>173</v>
      </c>
      <c r="B215" s="138" t="s">
        <v>6675</v>
      </c>
      <c r="C215" s="138" t="s">
        <v>6676</v>
      </c>
      <c r="D215" s="139"/>
      <c r="E215" s="139"/>
      <c r="F215" s="139" t="s">
        <v>78</v>
      </c>
      <c r="G215" s="139" t="s">
        <v>79</v>
      </c>
      <c r="H215" s="139" t="s">
        <v>47</v>
      </c>
      <c r="I215" s="139" t="s">
        <v>49</v>
      </c>
      <c r="J215" s="139"/>
    </row>
    <row r="216" spans="1:10" ht="72">
      <c r="A216" s="137">
        <f>HYPERLINK("http://www.westlaw.com/Find/Default.wl?rs=dfa1.0&amp;vr=2.0&amp;DB=4637&amp;FindType=Y&amp;SerialNum=2024934221",175)</f>
        <v>175</v>
      </c>
      <c r="B216" s="138" t="s">
        <v>6677</v>
      </c>
      <c r="C216" s="138" t="s">
        <v>6678</v>
      </c>
      <c r="D216" s="139"/>
      <c r="E216" s="139"/>
      <c r="F216" s="139" t="s">
        <v>78</v>
      </c>
      <c r="G216" s="139" t="s">
        <v>167</v>
      </c>
      <c r="H216" s="139" t="s">
        <v>79</v>
      </c>
      <c r="I216" s="139" t="s">
        <v>49</v>
      </c>
      <c r="J216" s="139"/>
    </row>
    <row r="217" spans="1:10" ht="60">
      <c r="A217" s="137">
        <f>HYPERLINK("http://www.westlaw.com/Find/Default.wl?rs=dfa1.0&amp;vr=2.0&amp;FindType=Y&amp;SerialNum=2025389071",176)</f>
        <v>176</v>
      </c>
      <c r="B217" s="138" t="s">
        <v>6679</v>
      </c>
      <c r="C217" s="138" t="s">
        <v>6680</v>
      </c>
      <c r="D217" s="139"/>
      <c r="E217" s="139"/>
      <c r="F217" s="139" t="s">
        <v>78</v>
      </c>
      <c r="G217" s="139" t="s">
        <v>79</v>
      </c>
      <c r="H217" s="139" t="s">
        <v>6681</v>
      </c>
      <c r="I217" s="139" t="s">
        <v>49</v>
      </c>
      <c r="J217" s="139"/>
    </row>
    <row r="218" spans="1:10" ht="72">
      <c r="A218" s="137">
        <f>HYPERLINK("http://www.westlaw.com/Find/Default.wl?rs=dfa1.0&amp;vr=2.0&amp;FindType=Y&amp;SerialNum=2024871280",177)</f>
        <v>177</v>
      </c>
      <c r="B218" s="138" t="s">
        <v>6682</v>
      </c>
      <c r="C218" s="138" t="s">
        <v>6683</v>
      </c>
      <c r="D218" s="139"/>
      <c r="E218" s="139"/>
      <c r="F218" s="139" t="s">
        <v>78</v>
      </c>
      <c r="G218" s="139" t="s">
        <v>79</v>
      </c>
      <c r="H218" s="139" t="s">
        <v>100</v>
      </c>
      <c r="I218" s="139" t="s">
        <v>49</v>
      </c>
      <c r="J218" s="139"/>
    </row>
    <row r="219" spans="1:10" ht="96">
      <c r="A219" s="137">
        <f>HYPERLINK("http://www.westlaw.com/Find/Default.wl?rs=dfa1.0&amp;vr=2.0&amp;DB=25&amp;FindType=Y&amp;SerialNum=2007373169",178)</f>
        <v>178</v>
      </c>
      <c r="B219" s="138" t="s">
        <v>6684</v>
      </c>
      <c r="C219" s="138" t="s">
        <v>6685</v>
      </c>
      <c r="D219" s="139"/>
      <c r="E219" s="139"/>
      <c r="F219" s="139" t="s">
        <v>78</v>
      </c>
      <c r="G219" s="139" t="s">
        <v>167</v>
      </c>
      <c r="H219" s="139" t="s">
        <v>111</v>
      </c>
      <c r="I219" s="139" t="s">
        <v>49</v>
      </c>
      <c r="J219" s="139" t="s">
        <v>6686</v>
      </c>
    </row>
    <row r="220" spans="1:10" ht="120">
      <c r="A220" s="137">
        <f>HYPERLINK("http://www.westlaw.com/Find/Default.wl?rs=dfa1.0&amp;vr=2.0&amp;DB=4637&amp;FindType=Y&amp;SerialNum=2024819937",179)</f>
        <v>179</v>
      </c>
      <c r="B220" s="138" t="s">
        <v>6687</v>
      </c>
      <c r="C220" s="138" t="s">
        <v>6688</v>
      </c>
      <c r="D220" s="139"/>
      <c r="E220" s="139"/>
      <c r="F220" s="139" t="s">
        <v>78</v>
      </c>
      <c r="G220" s="139" t="s">
        <v>79</v>
      </c>
      <c r="H220" s="139" t="s">
        <v>329</v>
      </c>
      <c r="I220" s="139" t="s">
        <v>49</v>
      </c>
      <c r="J220" s="139"/>
    </row>
    <row r="221" spans="1:10" ht="84">
      <c r="A221" s="137">
        <f>HYPERLINK("http://www.westlaw.com/Find/Default.wl?rs=dfa1.0&amp;vr=2.0&amp;DB=4637&amp;FindType=Y&amp;SerialNum=2024818454",180)</f>
        <v>180</v>
      </c>
      <c r="B221" s="138" t="s">
        <v>6689</v>
      </c>
      <c r="C221" s="138" t="s">
        <v>6690</v>
      </c>
      <c r="D221" s="139"/>
      <c r="E221" s="139"/>
      <c r="F221" s="139" t="s">
        <v>78</v>
      </c>
      <c r="G221" s="139" t="s">
        <v>167</v>
      </c>
      <c r="H221" s="139" t="s">
        <v>47</v>
      </c>
      <c r="I221" s="139" t="s">
        <v>49</v>
      </c>
      <c r="J221" s="139"/>
    </row>
    <row r="222" spans="1:10" ht="60">
      <c r="A222" s="137">
        <f>HYPERLINK("http://www.westlaw.com/Find/Default.wl?rs=dfa1.0&amp;vr=2.0&amp;FindType=Y&amp;SerialNum=2024826356",181)</f>
        <v>181</v>
      </c>
      <c r="B222" s="138" t="s">
        <v>6691</v>
      </c>
      <c r="C222" s="138" t="s">
        <v>6692</v>
      </c>
      <c r="D222" s="139"/>
      <c r="E222" s="139"/>
      <c r="F222" s="139" t="s">
        <v>78</v>
      </c>
      <c r="G222" s="139" t="s">
        <v>79</v>
      </c>
      <c r="H222" s="139" t="s">
        <v>79</v>
      </c>
      <c r="I222" s="139" t="s">
        <v>49</v>
      </c>
      <c r="J222" s="139"/>
    </row>
    <row r="223" spans="1:10" ht="72">
      <c r="A223" s="137">
        <f>HYPERLINK("http://www.westlaw.com/Find/Default.wl?rs=dfa1.0&amp;vr=2.0&amp;FindType=Y&amp;SerialNum=2024822167",182)</f>
        <v>182</v>
      </c>
      <c r="B223" s="138" t="s">
        <v>6693</v>
      </c>
      <c r="C223" s="138" t="s">
        <v>6694</v>
      </c>
      <c r="D223" s="139"/>
      <c r="E223" s="139"/>
      <c r="F223" s="139" t="s">
        <v>78</v>
      </c>
      <c r="G223" s="139" t="s">
        <v>79</v>
      </c>
      <c r="H223" s="139" t="s">
        <v>79</v>
      </c>
      <c r="I223" s="139" t="s">
        <v>49</v>
      </c>
      <c r="J223" s="139"/>
    </row>
    <row r="224" spans="1:10" ht="72">
      <c r="A224" s="137">
        <f>HYPERLINK("http://www.westlaw.com/Find/Default.wl?rs=dfa1.0&amp;vr=2.0&amp;FindType=Y&amp;SerialNum=2024809532",183)</f>
        <v>183</v>
      </c>
      <c r="B224" s="138" t="s">
        <v>6695</v>
      </c>
      <c r="C224" s="138" t="s">
        <v>6696</v>
      </c>
      <c r="D224" s="139"/>
      <c r="E224" s="139"/>
      <c r="F224" s="139" t="s">
        <v>78</v>
      </c>
      <c r="G224" s="139" t="s">
        <v>167</v>
      </c>
      <c r="H224" s="139" t="s">
        <v>100</v>
      </c>
      <c r="I224" s="139" t="s">
        <v>49</v>
      </c>
      <c r="J224" s="139"/>
    </row>
    <row r="225" spans="1:10" ht="108">
      <c r="A225" s="137">
        <f>HYPERLINK("http://www.westlaw.com/Find/Default.wl?rs=dfa1.0&amp;vr=2.0&amp;DB=4637&amp;FindType=Y&amp;SerialNum=2024795444",184)</f>
        <v>184</v>
      </c>
      <c r="B225" s="138" t="s">
        <v>6697</v>
      </c>
      <c r="C225" s="138" t="s">
        <v>6698</v>
      </c>
      <c r="D225" s="139"/>
      <c r="E225" s="139"/>
      <c r="F225" s="139" t="s">
        <v>78</v>
      </c>
      <c r="G225" s="139" t="s">
        <v>167</v>
      </c>
      <c r="H225" s="139" t="s">
        <v>111</v>
      </c>
      <c r="I225" s="139" t="s">
        <v>49</v>
      </c>
      <c r="J225" s="139" t="s">
        <v>6699</v>
      </c>
    </row>
    <row r="226" spans="1:10" ht="121">
      <c r="A226" s="137">
        <f>HYPERLINK("http://www.westlaw.com/Find/Default.wl?rs=dfa1.0&amp;vr=2.0&amp;FindType=Y&amp;SerialNum=2024877695",185)</f>
        <v>185</v>
      </c>
      <c r="B226" s="138" t="s">
        <v>6700</v>
      </c>
      <c r="C226" s="138" t="s">
        <v>6701</v>
      </c>
      <c r="D226" s="139"/>
      <c r="E226" s="139"/>
      <c r="F226" s="139" t="s">
        <v>78</v>
      </c>
      <c r="G226" s="139" t="s">
        <v>167</v>
      </c>
      <c r="H226" s="139" t="s">
        <v>79</v>
      </c>
      <c r="I226" s="139" t="s">
        <v>49</v>
      </c>
      <c r="J226" s="139" t="s">
        <v>6702</v>
      </c>
    </row>
    <row r="227" spans="1:10" ht="72">
      <c r="A227" s="137">
        <f>HYPERLINK("http://www.westlaw.com/Find/Default.wl?rs=dfa1.0&amp;vr=2.0&amp;FindType=Y&amp;SerialNum=2024748907",186)</f>
        <v>186</v>
      </c>
      <c r="B227" s="138" t="s">
        <v>6703</v>
      </c>
      <c r="C227" s="138" t="s">
        <v>6704</v>
      </c>
      <c r="D227" s="139"/>
      <c r="E227" s="139"/>
      <c r="F227" s="139" t="s">
        <v>78</v>
      </c>
      <c r="G227" s="139" t="s">
        <v>167</v>
      </c>
      <c r="H227" s="139" t="s">
        <v>47</v>
      </c>
      <c r="I227" s="139" t="s">
        <v>49</v>
      </c>
      <c r="J227" s="139"/>
    </row>
    <row r="228" spans="1:10" ht="84">
      <c r="A228" s="137">
        <f>HYPERLINK("http://www.westlaw.com/Find/Default.wl?rs=dfa1.0&amp;vr=2.0&amp;FindType=Y&amp;SerialNum=2024900100",187)</f>
        <v>187</v>
      </c>
      <c r="B228" s="138" t="s">
        <v>6705</v>
      </c>
      <c r="C228" s="138" t="s">
        <v>6706</v>
      </c>
      <c r="D228" s="139"/>
      <c r="E228" s="139"/>
      <c r="F228" s="139" t="s">
        <v>78</v>
      </c>
      <c r="G228" s="139" t="s">
        <v>167</v>
      </c>
      <c r="H228" s="139" t="s">
        <v>100</v>
      </c>
      <c r="I228" s="139" t="s">
        <v>49</v>
      </c>
      <c r="J228" s="139"/>
    </row>
    <row r="229" spans="1:10" ht="84">
      <c r="A229" s="137">
        <f>HYPERLINK("http://www.westlaw.com/Find/Default.wl?rs=dfa1.0&amp;vr=2.0&amp;FindType=Y&amp;SerialNum=2024718378",188)</f>
        <v>188</v>
      </c>
      <c r="B229" s="138" t="s">
        <v>6707</v>
      </c>
      <c r="C229" s="138" t="s">
        <v>6708</v>
      </c>
      <c r="D229" s="139"/>
      <c r="E229" s="139"/>
      <c r="F229" s="139" t="s">
        <v>78</v>
      </c>
      <c r="G229" s="139" t="s">
        <v>167</v>
      </c>
      <c r="H229" s="139" t="s">
        <v>79</v>
      </c>
      <c r="I229" s="139" t="s">
        <v>49</v>
      </c>
      <c r="J229" s="139"/>
    </row>
    <row r="230" spans="1:10" ht="108">
      <c r="A230" s="137">
        <f>HYPERLINK("http://www.westlaw.com/Find/Default.wl?rs=dfa1.0&amp;vr=2.0&amp;DB=26&amp;FindType=Y&amp;SerialNum=2024683243",189)</f>
        <v>189</v>
      </c>
      <c r="B230" s="138" t="s">
        <v>6709</v>
      </c>
      <c r="C230" s="138" t="s">
        <v>6710</v>
      </c>
      <c r="D230" s="139"/>
      <c r="E230" s="139"/>
      <c r="F230" s="139" t="s">
        <v>78</v>
      </c>
      <c r="G230" s="139" t="s">
        <v>79</v>
      </c>
      <c r="H230" s="139" t="s">
        <v>79</v>
      </c>
      <c r="I230" s="139" t="s">
        <v>49</v>
      </c>
      <c r="J230" s="139"/>
    </row>
    <row r="231" spans="1:10" ht="84">
      <c r="A231" s="137">
        <f>HYPERLINK("http://www.westlaw.com/Find/Default.wl?rs=dfa1.0&amp;vr=2.0&amp;DB=4637&amp;FindType=Y&amp;SerialNum=2024585811",190)</f>
        <v>190</v>
      </c>
      <c r="B231" s="138" t="s">
        <v>6711</v>
      </c>
      <c r="C231" s="138" t="s">
        <v>6712</v>
      </c>
      <c r="D231" s="139"/>
      <c r="E231" s="139"/>
      <c r="F231" s="139" t="s">
        <v>78</v>
      </c>
      <c r="G231" s="139" t="s">
        <v>167</v>
      </c>
      <c r="H231" s="139" t="s">
        <v>47</v>
      </c>
      <c r="I231" s="139" t="s">
        <v>49</v>
      </c>
      <c r="J231" s="139"/>
    </row>
    <row r="232" spans="1:10" ht="84">
      <c r="A232" s="137">
        <f>HYPERLINK("http://www.westlaw.com/Find/Default.wl?rs=dfa1.0&amp;vr=2.0&amp;DB=164&amp;FindType=Y&amp;SerialNum=2024585905",191)</f>
        <v>191</v>
      </c>
      <c r="B232" s="138" t="s">
        <v>6713</v>
      </c>
      <c r="C232" s="138" t="s">
        <v>6714</v>
      </c>
      <c r="D232" s="139"/>
      <c r="E232" s="139"/>
      <c r="F232" s="139" t="s">
        <v>78</v>
      </c>
      <c r="G232" s="139" t="s">
        <v>167</v>
      </c>
      <c r="H232" s="139" t="s">
        <v>47</v>
      </c>
      <c r="I232" s="139" t="s">
        <v>49</v>
      </c>
      <c r="J232" s="139"/>
    </row>
    <row r="233" spans="1:10" ht="132">
      <c r="A233" s="137">
        <f>HYPERLINK("http://www.westlaw.com/Find/Default.wl?rs=dfa1.0&amp;vr=2.0&amp;DB=164&amp;FindType=Y&amp;SerialNum=2024626603",192)</f>
        <v>192</v>
      </c>
      <c r="B233" s="138" t="s">
        <v>6715</v>
      </c>
      <c r="C233" s="138" t="s">
        <v>6716</v>
      </c>
      <c r="D233" s="139"/>
      <c r="E233" s="139"/>
      <c r="F233" s="139" t="s">
        <v>78</v>
      </c>
      <c r="G233" s="139" t="s">
        <v>79</v>
      </c>
      <c r="H233" s="139" t="s">
        <v>47</v>
      </c>
      <c r="I233" s="139" t="s">
        <v>49</v>
      </c>
      <c r="J233" s="139"/>
    </row>
    <row r="234" spans="1:10" ht="84">
      <c r="A234" s="137">
        <f>HYPERLINK("http://www.westlaw.com/Find/Default.wl?rs=dfa1.0&amp;vr=2.0&amp;FindType=Y&amp;SerialNum=2024655749",193)</f>
        <v>193</v>
      </c>
      <c r="B234" s="138" t="s">
        <v>6717</v>
      </c>
      <c r="C234" s="138" t="s">
        <v>6718</v>
      </c>
      <c r="D234" s="139"/>
      <c r="E234" s="139"/>
      <c r="F234" s="139" t="s">
        <v>78</v>
      </c>
      <c r="G234" s="139" t="s">
        <v>79</v>
      </c>
      <c r="H234" s="139" t="s">
        <v>100</v>
      </c>
      <c r="I234" s="139" t="s">
        <v>49</v>
      </c>
      <c r="J234" s="139"/>
    </row>
    <row r="235" spans="1:10" ht="84">
      <c r="A235" s="137">
        <f>HYPERLINK("http://www.westlaw.com/Find/Default.wl?rs=dfa1.0&amp;vr=2.0&amp;DB=4637&amp;FindType=Y&amp;SerialNum=2024573990",194)</f>
        <v>194</v>
      </c>
      <c r="B235" s="138" t="s">
        <v>5555</v>
      </c>
      <c r="C235" s="138" t="s">
        <v>6719</v>
      </c>
      <c r="D235" s="139"/>
      <c r="E235" s="139"/>
      <c r="F235" s="139" t="s">
        <v>78</v>
      </c>
      <c r="G235" s="139" t="s">
        <v>79</v>
      </c>
      <c r="H235" s="139" t="s">
        <v>47</v>
      </c>
      <c r="I235" s="139" t="s">
        <v>49</v>
      </c>
      <c r="J235" s="139"/>
    </row>
    <row r="236" spans="1:10" ht="96">
      <c r="A236" s="137">
        <f>HYPERLINK("http://www.westlaw.com/Find/Default.wl?rs=dfa1.0&amp;vr=2.0&amp;DB=4176&amp;FindType=Y&amp;SerialNum=2024600842",195)</f>
        <v>195</v>
      </c>
      <c r="B236" s="138" t="s">
        <v>6720</v>
      </c>
      <c r="C236" s="138" t="s">
        <v>6721</v>
      </c>
      <c r="D236" s="139"/>
      <c r="E236" s="139"/>
      <c r="F236" s="139" t="s">
        <v>78</v>
      </c>
      <c r="G236" s="139" t="s">
        <v>167</v>
      </c>
      <c r="H236" s="139" t="s">
        <v>47</v>
      </c>
      <c r="I236" s="139" t="s">
        <v>49</v>
      </c>
      <c r="J236" s="139"/>
    </row>
    <row r="237" spans="1:10" ht="84">
      <c r="A237" s="137">
        <f>HYPERLINK("http://www.westlaw.com/Find/Default.wl?rs=dfa1.0&amp;vr=2.0&amp;FindType=Y&amp;SerialNum=2024580573",196)</f>
        <v>196</v>
      </c>
      <c r="B237" s="138" t="s">
        <v>6722</v>
      </c>
      <c r="C237" s="138" t="s">
        <v>6723</v>
      </c>
      <c r="D237" s="139"/>
      <c r="E237" s="139"/>
      <c r="F237" s="139" t="s">
        <v>78</v>
      </c>
      <c r="G237" s="139" t="s">
        <v>167</v>
      </c>
      <c r="H237" s="139" t="s">
        <v>79</v>
      </c>
      <c r="I237" s="139" t="s">
        <v>49</v>
      </c>
      <c r="J237" s="139"/>
    </row>
    <row r="238" spans="1:10" ht="72">
      <c r="A238" s="137">
        <f>HYPERLINK("http://www.westlaw.com/Find/Default.wl?rs=dfa1.0&amp;vr=2.0&amp;FindType=Y&amp;SerialNum=2024798825",197)</f>
        <v>197</v>
      </c>
      <c r="B238" s="138" t="s">
        <v>6724</v>
      </c>
      <c r="C238" s="138" t="s">
        <v>6725</v>
      </c>
      <c r="D238" s="139"/>
      <c r="E238" s="139"/>
      <c r="F238" s="139" t="s">
        <v>78</v>
      </c>
      <c r="G238" s="139" t="s">
        <v>167</v>
      </c>
      <c r="H238" s="139" t="s">
        <v>100</v>
      </c>
      <c r="I238" s="139" t="s">
        <v>49</v>
      </c>
      <c r="J238" s="139"/>
    </row>
    <row r="239" spans="1:10" ht="72">
      <c r="A239" s="137">
        <f>HYPERLINK("http://www.westlaw.com/Find/Default.wl?rs=dfa1.0&amp;vr=2.0&amp;FindType=Y&amp;SerialNum=2024539768",198)</f>
        <v>198</v>
      </c>
      <c r="B239" s="138" t="s">
        <v>6726</v>
      </c>
      <c r="C239" s="138" t="s">
        <v>6727</v>
      </c>
      <c r="D239" s="139"/>
      <c r="E239" s="139"/>
      <c r="F239" s="139" t="s">
        <v>78</v>
      </c>
      <c r="G239" s="139" t="s">
        <v>167</v>
      </c>
      <c r="H239" s="139" t="s">
        <v>100</v>
      </c>
      <c r="I239" s="139" t="s">
        <v>49</v>
      </c>
      <c r="J239" s="139"/>
    </row>
    <row r="240" spans="1:10" ht="120">
      <c r="A240" s="140">
        <f>HYPERLINK("http://www.westlaw.com/Find/Default.wl?rs=dfa1.0&amp;vr=2.0&amp;DB=884&amp;FindType=Y&amp;SerialNum=2024453325",201)</f>
        <v>201</v>
      </c>
      <c r="B240" s="141" t="s">
        <v>6728</v>
      </c>
      <c r="C240" s="141" t="s">
        <v>6729</v>
      </c>
      <c r="D240" s="142"/>
      <c r="E240" s="142"/>
      <c r="F240" s="142" t="s">
        <v>78</v>
      </c>
      <c r="G240" s="142" t="s">
        <v>167</v>
      </c>
      <c r="H240" s="142" t="s">
        <v>47</v>
      </c>
      <c r="I240" s="142" t="s">
        <v>49</v>
      </c>
      <c r="J240" s="142"/>
    </row>
    <row r="241" spans="1:10" ht="73">
      <c r="A241" s="140">
        <f>HYPERLINK("http://www.westlaw.com/Find/Default.wl?rs=dfa1.0&amp;vr=2.0&amp;FindType=Y&amp;SerialNum=2024379617",202)</f>
        <v>202</v>
      </c>
      <c r="B241" s="141" t="s">
        <v>6730</v>
      </c>
      <c r="C241" s="141" t="s">
        <v>6731</v>
      </c>
      <c r="D241" s="142"/>
      <c r="E241" s="142"/>
      <c r="F241" s="142" t="s">
        <v>78</v>
      </c>
      <c r="G241" s="142" t="s">
        <v>167</v>
      </c>
      <c r="H241" s="142" t="s">
        <v>111</v>
      </c>
      <c r="I241" s="142" t="s">
        <v>49</v>
      </c>
      <c r="J241" s="142" t="s">
        <v>6732</v>
      </c>
    </row>
    <row r="242" spans="1:10" ht="108">
      <c r="A242" s="140">
        <f>HYPERLINK("http://www.westlaw.com/Find/Default.wl?rs=dfa1.0&amp;vr=2.0&amp;DB=4637&amp;FindType=Y&amp;SerialNum=2024375463",204)</f>
        <v>204</v>
      </c>
      <c r="B242" s="141" t="s">
        <v>6733</v>
      </c>
      <c r="C242" s="141" t="s">
        <v>6734</v>
      </c>
      <c r="D242" s="142"/>
      <c r="E242" s="142"/>
      <c r="F242" s="142" t="s">
        <v>78</v>
      </c>
      <c r="G242" s="142" t="s">
        <v>167</v>
      </c>
      <c r="H242" s="142" t="s">
        <v>79</v>
      </c>
      <c r="I242" s="142" t="s">
        <v>49</v>
      </c>
      <c r="J242" s="142"/>
    </row>
    <row r="243" spans="1:10" ht="132">
      <c r="A243" s="140">
        <f>HYPERLINK("http://www.westlaw.com/Find/Default.wl?rs=dfa1.0&amp;vr=2.0&amp;DB=164&amp;FindType=Y&amp;SerialNum=2024227113",205)</f>
        <v>205</v>
      </c>
      <c r="B243" s="141" t="s">
        <v>6735</v>
      </c>
      <c r="C243" s="141" t="s">
        <v>6736</v>
      </c>
      <c r="D243" s="142"/>
      <c r="E243" s="142"/>
      <c r="F243" s="142" t="s">
        <v>78</v>
      </c>
      <c r="G243" s="142" t="s">
        <v>79</v>
      </c>
      <c r="H243" s="142" t="s">
        <v>79</v>
      </c>
      <c r="I243" s="142" t="s">
        <v>49</v>
      </c>
      <c r="J243" s="142"/>
    </row>
    <row r="244" spans="1:10" ht="72">
      <c r="A244" s="140">
        <f>HYPERLINK("http://www.westlaw.com/Find/Default.wl?rs=dfa1.0&amp;vr=2.0&amp;FindType=Y&amp;SerialNum=2024533353",207)</f>
        <v>207</v>
      </c>
      <c r="B244" s="141" t="s">
        <v>6737</v>
      </c>
      <c r="C244" s="141" t="s">
        <v>6738</v>
      </c>
      <c r="D244" s="142"/>
      <c r="E244" s="142"/>
      <c r="F244" s="142" t="s">
        <v>78</v>
      </c>
      <c r="G244" s="142" t="s">
        <v>79</v>
      </c>
      <c r="H244" s="142" t="s">
        <v>47</v>
      </c>
      <c r="I244" s="142" t="s">
        <v>49</v>
      </c>
      <c r="J244" s="142"/>
    </row>
    <row r="245" spans="1:10" ht="84">
      <c r="A245" s="140">
        <f>HYPERLINK("http://www.westlaw.com/Find/Default.wl?rs=dfa1.0&amp;vr=2.0&amp;FindType=Y&amp;SerialNum=2024218549",208)</f>
        <v>208</v>
      </c>
      <c r="B245" s="141" t="s">
        <v>6739</v>
      </c>
      <c r="C245" s="141" t="s">
        <v>6740</v>
      </c>
      <c r="D245" s="142"/>
      <c r="E245" s="142"/>
      <c r="F245" s="142" t="s">
        <v>78</v>
      </c>
      <c r="G245" s="142" t="s">
        <v>167</v>
      </c>
      <c r="H245" s="142" t="s">
        <v>100</v>
      </c>
      <c r="I245" s="142" t="s">
        <v>49</v>
      </c>
      <c r="J245" s="142"/>
    </row>
    <row r="246" spans="1:10" ht="84">
      <c r="A246" s="140">
        <f>HYPERLINK("http://www.westlaw.com/Find/Default.wl?rs=dfa1.0&amp;vr=2.0&amp;FindType=Y&amp;SerialNum=2024699036",209)</f>
        <v>209</v>
      </c>
      <c r="B246" s="141" t="s">
        <v>903</v>
      </c>
      <c r="C246" s="141" t="s">
        <v>6741</v>
      </c>
      <c r="D246" s="142"/>
      <c r="E246" s="142"/>
      <c r="F246" s="142" t="s">
        <v>78</v>
      </c>
      <c r="G246" s="142" t="s">
        <v>79</v>
      </c>
      <c r="H246" s="142" t="s">
        <v>47</v>
      </c>
      <c r="I246" s="142" t="s">
        <v>49</v>
      </c>
      <c r="J246" s="142"/>
    </row>
    <row r="247" spans="1:10" ht="72">
      <c r="A247" s="140">
        <f>HYPERLINK("http://www.westlaw.com/Find/Default.wl?rs=dfa1.0&amp;vr=2.0&amp;FindType=Y&amp;SerialNum=2024139970",210)</f>
        <v>210</v>
      </c>
      <c r="B247" s="141" t="s">
        <v>6742</v>
      </c>
      <c r="C247" s="141" t="s">
        <v>6743</v>
      </c>
      <c r="D247" s="142"/>
      <c r="E247" s="142"/>
      <c r="F247" s="142" t="s">
        <v>78</v>
      </c>
      <c r="G247" s="142" t="s">
        <v>79</v>
      </c>
      <c r="H247" s="142" t="s">
        <v>47</v>
      </c>
      <c r="I247" s="142" t="s">
        <v>49</v>
      </c>
      <c r="J247" s="142"/>
    </row>
    <row r="248" spans="1:10" ht="72">
      <c r="A248" s="140">
        <f>HYPERLINK("http://www.westlaw.com/Find/Default.wl?rs=dfa1.0&amp;vr=2.0&amp;FindType=Y&amp;SerialNum=2024143282",211)</f>
        <v>211</v>
      </c>
      <c r="B248" s="141" t="s">
        <v>6516</v>
      </c>
      <c r="C248" s="141" t="s">
        <v>6744</v>
      </c>
      <c r="D248" s="142"/>
      <c r="E248" s="142"/>
      <c r="F248" s="142" t="s">
        <v>78</v>
      </c>
      <c r="G248" s="142" t="s">
        <v>167</v>
      </c>
      <c r="H248" s="142" t="s">
        <v>100</v>
      </c>
      <c r="I248" s="142" t="s">
        <v>49</v>
      </c>
      <c r="J248" s="142"/>
    </row>
    <row r="249" spans="1:10" ht="108">
      <c r="A249" s="140">
        <f>HYPERLINK("http://www.westlaw.com/Find/Default.wl?rs=dfa1.0&amp;vr=2.0&amp;DB=4637&amp;FindType=Y&amp;SerialNum=2023971096",212)</f>
        <v>212</v>
      </c>
      <c r="B249" s="141" t="s">
        <v>6745</v>
      </c>
      <c r="C249" s="141" t="s">
        <v>6746</v>
      </c>
      <c r="D249" s="142"/>
      <c r="E249" s="142"/>
      <c r="F249" s="142" t="s">
        <v>78</v>
      </c>
      <c r="G249" s="142" t="s">
        <v>167</v>
      </c>
      <c r="H249" s="142" t="s">
        <v>6670</v>
      </c>
      <c r="I249" s="142" t="s">
        <v>49</v>
      </c>
      <c r="J249" s="142"/>
    </row>
    <row r="250" spans="1:10" ht="72">
      <c r="A250" s="140">
        <f>HYPERLINK("http://www.westlaw.com/Find/Default.wl?rs=dfa1.0&amp;vr=2.0&amp;FindType=Y&amp;SerialNum=2024065957",213)</f>
        <v>213</v>
      </c>
      <c r="B250" s="141" t="s">
        <v>6747</v>
      </c>
      <c r="C250" s="141" t="s">
        <v>6748</v>
      </c>
      <c r="D250" s="142"/>
      <c r="E250" s="142"/>
      <c r="F250" s="142" t="s">
        <v>78</v>
      </c>
      <c r="G250" s="142" t="s">
        <v>79</v>
      </c>
      <c r="H250" s="142" t="s">
        <v>47</v>
      </c>
      <c r="I250" s="142" t="s">
        <v>49</v>
      </c>
      <c r="J250" s="142"/>
    </row>
    <row r="251" spans="1:10" ht="72">
      <c r="A251" s="140">
        <f>HYPERLINK("http://www.westlaw.com/Find/Default.wl?rs=dfa1.0&amp;vr=2.0&amp;FindType=Y&amp;SerialNum=2024534648",214)</f>
        <v>214</v>
      </c>
      <c r="B251" s="141" t="s">
        <v>6749</v>
      </c>
      <c r="C251" s="141" t="s">
        <v>6750</v>
      </c>
      <c r="D251" s="142"/>
      <c r="E251" s="142"/>
      <c r="F251" s="142" t="s">
        <v>78</v>
      </c>
      <c r="G251" s="142" t="s">
        <v>167</v>
      </c>
      <c r="H251" s="142" t="s">
        <v>100</v>
      </c>
      <c r="I251" s="142" t="s">
        <v>49</v>
      </c>
      <c r="J251" s="142"/>
    </row>
    <row r="252" spans="1:10" ht="120">
      <c r="A252" s="140">
        <f>HYPERLINK("http://www.westlaw.com/Find/Default.wl?rs=dfa1.0&amp;vr=2.0&amp;FindType=Y&amp;SerialNum=2023973613",215)</f>
        <v>215</v>
      </c>
      <c r="B252" s="141" t="s">
        <v>6751</v>
      </c>
      <c r="C252" s="141" t="s">
        <v>6752</v>
      </c>
      <c r="D252" s="142"/>
      <c r="E252" s="142"/>
      <c r="F252" s="142" t="s">
        <v>78</v>
      </c>
      <c r="G252" s="142" t="s">
        <v>79</v>
      </c>
      <c r="H252" s="142" t="s">
        <v>47</v>
      </c>
      <c r="I252" s="142" t="s">
        <v>49</v>
      </c>
      <c r="J252" s="142"/>
    </row>
    <row r="253" spans="1:10" ht="84">
      <c r="A253" s="140">
        <f>HYPERLINK("http://www.westlaw.com/Find/Default.wl?rs=dfa1.0&amp;vr=2.0&amp;FindType=Y&amp;SerialNum=2023919285",216)</f>
        <v>216</v>
      </c>
      <c r="B253" s="141" t="s">
        <v>6753</v>
      </c>
      <c r="C253" s="141" t="s">
        <v>6754</v>
      </c>
      <c r="D253" s="142"/>
      <c r="E253" s="142"/>
      <c r="F253" s="142" t="s">
        <v>78</v>
      </c>
      <c r="G253" s="142" t="s">
        <v>167</v>
      </c>
      <c r="H253" s="142" t="s">
        <v>47</v>
      </c>
      <c r="I253" s="142" t="s">
        <v>49</v>
      </c>
      <c r="J253" s="142"/>
    </row>
    <row r="254" spans="1:10" ht="84">
      <c r="A254" s="140">
        <f>HYPERLINK("http://www.westlaw.com/Find/Default.wl?rs=dfa1.0&amp;vr=2.0&amp;FindType=Y&amp;SerialNum=2023907490",217)</f>
        <v>217</v>
      </c>
      <c r="B254" s="141" t="s">
        <v>6755</v>
      </c>
      <c r="C254" s="141" t="s">
        <v>6756</v>
      </c>
      <c r="D254" s="142"/>
      <c r="E254" s="142"/>
      <c r="F254" s="142" t="s">
        <v>78</v>
      </c>
      <c r="G254" s="142" t="s">
        <v>79</v>
      </c>
      <c r="H254" s="142" t="s">
        <v>5325</v>
      </c>
      <c r="I254" s="142" t="s">
        <v>49</v>
      </c>
      <c r="J254" s="142"/>
    </row>
    <row r="255" spans="1:10" ht="96">
      <c r="A255" s="140">
        <f>HYPERLINK("http://www.westlaw.com/Find/Default.wl?rs=dfa1.0&amp;vr=2.0&amp;FindType=Y&amp;SerialNum=2023908038",218)</f>
        <v>218</v>
      </c>
      <c r="B255" s="141" t="s">
        <v>6757</v>
      </c>
      <c r="C255" s="141" t="s">
        <v>6758</v>
      </c>
      <c r="D255" s="142"/>
      <c r="E255" s="142"/>
      <c r="F255" s="142" t="s">
        <v>78</v>
      </c>
      <c r="G255" s="142" t="s">
        <v>167</v>
      </c>
      <c r="H255" s="142" t="s">
        <v>100</v>
      </c>
      <c r="I255" s="142" t="s">
        <v>49</v>
      </c>
      <c r="J255" s="142"/>
    </row>
    <row r="256" spans="1:10" ht="84">
      <c r="A256" s="140">
        <f>HYPERLINK("http://www.westlaw.com/Find/Default.wl?rs=dfa1.0&amp;vr=2.0&amp;DB=4637&amp;FindType=Y&amp;SerialNum=2023834036",219)</f>
        <v>219</v>
      </c>
      <c r="B256" s="141" t="s">
        <v>6759</v>
      </c>
      <c r="C256" s="141" t="s">
        <v>6760</v>
      </c>
      <c r="D256" s="142"/>
      <c r="E256" s="142"/>
      <c r="F256" s="142" t="s">
        <v>78</v>
      </c>
      <c r="G256" s="142" t="s">
        <v>167</v>
      </c>
      <c r="H256" s="142" t="s">
        <v>47</v>
      </c>
      <c r="I256" s="142" t="s">
        <v>49</v>
      </c>
      <c r="J256" s="142"/>
    </row>
    <row r="257" spans="1:10" ht="120">
      <c r="A257" s="140">
        <f>HYPERLINK("http://www.westlaw.com/Find/Default.wl?rs=dfa1.0&amp;vr=2.0&amp;DB=164&amp;FindType=Y&amp;SerialNum=2023730980",220)</f>
        <v>220</v>
      </c>
      <c r="B257" s="141" t="s">
        <v>6761</v>
      </c>
      <c r="C257" s="141" t="s">
        <v>6762</v>
      </c>
      <c r="D257" s="142"/>
      <c r="E257" s="142"/>
      <c r="F257" s="142" t="s">
        <v>78</v>
      </c>
      <c r="G257" s="142" t="s">
        <v>79</v>
      </c>
      <c r="H257" s="142" t="s">
        <v>47</v>
      </c>
      <c r="I257" s="142" t="s">
        <v>49</v>
      </c>
      <c r="J257" s="142"/>
    </row>
    <row r="258" spans="1:10" ht="96">
      <c r="A258" s="140">
        <f>HYPERLINK("http://www.westlaw.com/Find/Default.wl?rs=dfa1.0&amp;vr=2.0&amp;FindType=Y&amp;SerialNum=2023820226",221)</f>
        <v>221</v>
      </c>
      <c r="B258" s="141" t="s">
        <v>6763</v>
      </c>
      <c r="C258" s="141" t="s">
        <v>6764</v>
      </c>
      <c r="D258" s="142"/>
      <c r="E258" s="142"/>
      <c r="F258" s="142" t="s">
        <v>78</v>
      </c>
      <c r="G258" s="142" t="s">
        <v>167</v>
      </c>
      <c r="H258" s="142" t="s">
        <v>100</v>
      </c>
      <c r="I258" s="142" t="s">
        <v>49</v>
      </c>
      <c r="J258" s="142"/>
    </row>
    <row r="259" spans="1:10" ht="72">
      <c r="A259" s="140">
        <f>HYPERLINK("http://www.westlaw.com/Find/Default.wl?rs=dfa1.0&amp;vr=2.0&amp;FindType=Y&amp;SerialNum=2024068807",222)</f>
        <v>222</v>
      </c>
      <c r="B259" s="141" t="s">
        <v>6765</v>
      </c>
      <c r="C259" s="141" t="s">
        <v>6766</v>
      </c>
      <c r="D259" s="142"/>
      <c r="E259" s="142"/>
      <c r="F259" s="142" t="s">
        <v>78</v>
      </c>
      <c r="G259" s="142" t="s">
        <v>79</v>
      </c>
      <c r="H259" s="142" t="s">
        <v>79</v>
      </c>
      <c r="I259" s="142" t="s">
        <v>49</v>
      </c>
      <c r="J259" s="142"/>
    </row>
    <row r="260" spans="1:10" ht="84">
      <c r="A260" s="140">
        <f>HYPERLINK("http://www.westlaw.com/Find/Default.wl?rs=dfa1.0&amp;vr=2.0&amp;FindType=Y&amp;SerialNum=2023622199",224)</f>
        <v>224</v>
      </c>
      <c r="B260" s="141" t="s">
        <v>6767</v>
      </c>
      <c r="C260" s="141" t="s">
        <v>6768</v>
      </c>
      <c r="D260" s="142"/>
      <c r="E260" s="142"/>
      <c r="F260" s="142" t="s">
        <v>78</v>
      </c>
      <c r="G260" s="142" t="s">
        <v>79</v>
      </c>
      <c r="H260" s="142" t="s">
        <v>79</v>
      </c>
      <c r="I260" s="142" t="s">
        <v>49</v>
      </c>
      <c r="J260" s="142"/>
    </row>
    <row r="261" spans="1:10" ht="72">
      <c r="A261" s="140">
        <f>HYPERLINK("http://www.westlaw.com/Find/Default.wl?rs=dfa1.0&amp;vr=2.0&amp;FindType=Y&amp;SerialNum=2023499981",225)</f>
        <v>225</v>
      </c>
      <c r="B261" s="141" t="s">
        <v>6769</v>
      </c>
      <c r="C261" s="141" t="s">
        <v>6770</v>
      </c>
      <c r="D261" s="142"/>
      <c r="E261" s="142"/>
      <c r="F261" s="142" t="s">
        <v>78</v>
      </c>
      <c r="G261" s="142" t="s">
        <v>167</v>
      </c>
      <c r="H261" s="142" t="s">
        <v>47</v>
      </c>
      <c r="I261" s="142" t="s">
        <v>49</v>
      </c>
      <c r="J261" s="142"/>
    </row>
    <row r="262" spans="1:10" ht="72">
      <c r="A262" s="140">
        <f>HYPERLINK("http://www.westlaw.com/Find/Default.wl?rs=dfa1.0&amp;vr=2.0&amp;DB=4637&amp;FindType=Y&amp;SerialNum=2023382917",227)</f>
        <v>227</v>
      </c>
      <c r="B262" s="141" t="s">
        <v>6771</v>
      </c>
      <c r="C262" s="141" t="s">
        <v>6772</v>
      </c>
      <c r="D262" s="142"/>
      <c r="E262" s="142"/>
      <c r="F262" s="142" t="s">
        <v>78</v>
      </c>
      <c r="G262" s="142" t="s">
        <v>79</v>
      </c>
      <c r="H262" s="142" t="s">
        <v>79</v>
      </c>
      <c r="I262" s="142" t="s">
        <v>49</v>
      </c>
      <c r="J262" s="142"/>
    </row>
    <row r="263" spans="1:10" ht="84">
      <c r="A263" s="140">
        <f>HYPERLINK("http://www.westlaw.com/Find/Default.wl?rs=dfa1.0&amp;vr=2.0&amp;FindType=Y&amp;SerialNum=2023363434",228)</f>
        <v>228</v>
      </c>
      <c r="B263" s="141" t="s">
        <v>6773</v>
      </c>
      <c r="C263" s="141" t="s">
        <v>6774</v>
      </c>
      <c r="D263" s="142"/>
      <c r="E263" s="142"/>
      <c r="F263" s="142" t="s">
        <v>78</v>
      </c>
      <c r="G263" s="142" t="s">
        <v>79</v>
      </c>
      <c r="H263" s="142" t="s">
        <v>5325</v>
      </c>
      <c r="I263" s="142" t="s">
        <v>49</v>
      </c>
      <c r="J263" s="142"/>
    </row>
    <row r="264" spans="1:10" ht="72">
      <c r="A264" s="140">
        <f>HYPERLINK("http://www.westlaw.com/Find/Default.wl?rs=dfa1.0&amp;vr=2.0&amp;FindType=Y&amp;SerialNum=2023361427",229)</f>
        <v>229</v>
      </c>
      <c r="B264" s="141" t="s">
        <v>6775</v>
      </c>
      <c r="C264" s="141" t="s">
        <v>6776</v>
      </c>
      <c r="D264" s="142"/>
      <c r="E264" s="142"/>
      <c r="F264" s="142" t="s">
        <v>78</v>
      </c>
      <c r="G264" s="142" t="s">
        <v>167</v>
      </c>
      <c r="H264" s="142" t="s">
        <v>47</v>
      </c>
      <c r="I264" s="142" t="s">
        <v>49</v>
      </c>
      <c r="J264" s="142"/>
    </row>
    <row r="265" spans="1:10" ht="96">
      <c r="A265" s="140">
        <f>HYPERLINK("http://www.westlaw.com/Find/Default.wl?rs=dfa1.0&amp;vr=2.0&amp;FindType=Y&amp;SerialNum=2023361204",230)</f>
        <v>230</v>
      </c>
      <c r="B265" s="141" t="s">
        <v>6777</v>
      </c>
      <c r="C265" s="141" t="s">
        <v>6778</v>
      </c>
      <c r="D265" s="142"/>
      <c r="E265" s="142"/>
      <c r="F265" s="142" t="s">
        <v>78</v>
      </c>
      <c r="G265" s="142" t="s">
        <v>167</v>
      </c>
      <c r="H265" s="142" t="s">
        <v>111</v>
      </c>
      <c r="I265" s="142" t="s">
        <v>49</v>
      </c>
      <c r="J265" s="142" t="s">
        <v>6779</v>
      </c>
    </row>
    <row r="266" spans="1:10" ht="72">
      <c r="A266" s="140">
        <f>HYPERLINK("http://www.westlaw.com/Find/Default.wl?rs=dfa1.0&amp;vr=2.0&amp;FindType=Y&amp;SerialNum=2023285365",231)</f>
        <v>231</v>
      </c>
      <c r="B266" s="141" t="s">
        <v>6780</v>
      </c>
      <c r="C266" s="141" t="s">
        <v>6781</v>
      </c>
      <c r="D266" s="142"/>
      <c r="E266" s="142"/>
      <c r="F266" s="142" t="s">
        <v>78</v>
      </c>
      <c r="G266" s="142" t="s">
        <v>167</v>
      </c>
      <c r="H266" s="142" t="s">
        <v>79</v>
      </c>
      <c r="I266" s="142" t="s">
        <v>49</v>
      </c>
      <c r="J266" s="142"/>
    </row>
    <row r="267" spans="1:10" ht="60">
      <c r="A267" s="140">
        <f>HYPERLINK("http://www.westlaw.com/Find/Default.wl?rs=dfa1.0&amp;vr=2.0&amp;FindType=Y&amp;SerialNum=2024060944",232)</f>
        <v>232</v>
      </c>
      <c r="B267" s="141" t="s">
        <v>6782</v>
      </c>
      <c r="C267" s="141" t="s">
        <v>6783</v>
      </c>
      <c r="D267" s="142"/>
      <c r="E267" s="142"/>
      <c r="F267" s="142" t="s">
        <v>78</v>
      </c>
      <c r="G267" s="142" t="s">
        <v>79</v>
      </c>
      <c r="H267" s="142" t="s">
        <v>79</v>
      </c>
      <c r="I267" s="142" t="s">
        <v>49</v>
      </c>
      <c r="J267" s="142"/>
    </row>
    <row r="268" spans="1:10" ht="61">
      <c r="A268" s="140"/>
      <c r="B268" s="141" t="s">
        <v>6784</v>
      </c>
      <c r="C268" s="141" t="s">
        <v>6785</v>
      </c>
      <c r="D268" s="142"/>
      <c r="E268" s="142"/>
      <c r="F268" s="142" t="s">
        <v>78</v>
      </c>
      <c r="G268" s="142" t="s">
        <v>167</v>
      </c>
      <c r="H268" s="142" t="s">
        <v>111</v>
      </c>
      <c r="I268" s="142" t="s">
        <v>49</v>
      </c>
      <c r="J268" s="142" t="s">
        <v>6786</v>
      </c>
    </row>
    <row r="269" spans="1:10" ht="24">
      <c r="A269" s="140"/>
      <c r="B269" s="141" t="s">
        <v>6787</v>
      </c>
      <c r="C269" s="141" t="s">
        <v>6788</v>
      </c>
      <c r="D269" s="142"/>
      <c r="E269" s="142"/>
      <c r="F269" s="142" t="s">
        <v>78</v>
      </c>
      <c r="G269" s="142" t="s">
        <v>79</v>
      </c>
      <c r="H269" s="142" t="s">
        <v>5325</v>
      </c>
      <c r="I269" s="142" t="s">
        <v>49</v>
      </c>
      <c r="J269" s="142"/>
    </row>
    <row r="270" spans="1:10" ht="48">
      <c r="A270" s="140"/>
      <c r="B270" s="141" t="s">
        <v>6789</v>
      </c>
      <c r="C270" s="141" t="s">
        <v>6790</v>
      </c>
      <c r="D270" s="142"/>
      <c r="E270" s="142"/>
      <c r="F270" s="142" t="s">
        <v>78</v>
      </c>
      <c r="G270" s="142" t="s">
        <v>79</v>
      </c>
      <c r="H270" s="142" t="s">
        <v>79</v>
      </c>
      <c r="I270" s="142" t="s">
        <v>49</v>
      </c>
      <c r="J270" s="142"/>
    </row>
    <row r="271" spans="1:10" ht="168">
      <c r="A271" s="137">
        <f>HYPERLINK("http://www.westlaw.com/Find/Default.wl?rs=dfa1.0&amp;vr=2.0&amp;DB=708&amp;FindType=Y&amp;SerialNum=2025432407",18)</f>
        <v>18</v>
      </c>
      <c r="B271" s="138" t="s">
        <v>6791</v>
      </c>
      <c r="C271" s="138" t="s">
        <v>6792</v>
      </c>
      <c r="D271" s="139"/>
      <c r="E271" s="139"/>
      <c r="F271" s="139" t="s">
        <v>167</v>
      </c>
      <c r="G271" s="139" t="s">
        <v>79</v>
      </c>
      <c r="H271" s="139" t="s">
        <v>100</v>
      </c>
      <c r="I271" s="139" t="s">
        <v>49</v>
      </c>
      <c r="J271" s="139"/>
    </row>
    <row r="272" spans="1:10" ht="60">
      <c r="A272" s="137">
        <f>HYPERLINK("http://www.westlaw.com/Find/Default.wl?rs=dfa1.0&amp;vr=2.0&amp;FindType=Y&amp;SerialNum=2025819587",60)</f>
        <v>60</v>
      </c>
      <c r="B272" s="138" t="s">
        <v>6796</v>
      </c>
      <c r="C272" s="138" t="s">
        <v>6797</v>
      </c>
      <c r="D272" s="139"/>
      <c r="E272" s="139"/>
      <c r="F272" s="139" t="s">
        <v>78</v>
      </c>
      <c r="G272" s="139" t="s">
        <v>167</v>
      </c>
      <c r="H272" s="139" t="s">
        <v>111</v>
      </c>
      <c r="I272" s="139" t="s">
        <v>49</v>
      </c>
      <c r="J272" s="139"/>
    </row>
    <row r="273" spans="1:10" ht="96">
      <c r="A273" s="137">
        <f>HYPERLINK("http://www.westlaw.com/Find/Default.wl?rs=dfa1.0&amp;vr=2.0&amp;FindType=Y&amp;SerialNum=2026185197",121)</f>
        <v>121</v>
      </c>
      <c r="B273" s="138" t="s">
        <v>6798</v>
      </c>
      <c r="C273" s="138" t="s">
        <v>6799</v>
      </c>
      <c r="D273" s="139"/>
      <c r="E273" s="139"/>
      <c r="F273" s="139" t="s">
        <v>78</v>
      </c>
      <c r="G273" s="139" t="s">
        <v>79</v>
      </c>
      <c r="H273" s="139" t="s">
        <v>7109</v>
      </c>
      <c r="I273" s="139" t="s">
        <v>49</v>
      </c>
      <c r="J273" s="139"/>
    </row>
    <row r="274" spans="1:10" ht="60">
      <c r="A274" s="137">
        <f>HYPERLINK("http://www.westlaw.com/Find/Default.wl?rs=dfa1.0&amp;vr=2.0&amp;FindType=Y&amp;SerialNum=2025844161",143)</f>
        <v>143</v>
      </c>
      <c r="B274" s="138" t="s">
        <v>6800</v>
      </c>
      <c r="C274" s="138" t="s">
        <v>6801</v>
      </c>
      <c r="D274" s="139"/>
      <c r="E274" s="139"/>
      <c r="F274" s="139" t="s">
        <v>78</v>
      </c>
      <c r="G274" s="139" t="s">
        <v>167</v>
      </c>
      <c r="H274" s="139" t="s">
        <v>47</v>
      </c>
      <c r="I274" s="139" t="s">
        <v>49</v>
      </c>
      <c r="J274" s="139"/>
    </row>
    <row r="275" spans="1:10" ht="72">
      <c r="A275" s="137">
        <f>HYPERLINK("http://www.westlaw.com/Find/Default.wl?rs=dfa1.0&amp;vr=2.0&amp;FindType=Y&amp;SerialNum=2025831098",148)</f>
        <v>148</v>
      </c>
      <c r="B275" s="138" t="s">
        <v>6802</v>
      </c>
      <c r="C275" s="138" t="s">
        <v>6803</v>
      </c>
      <c r="D275" s="139"/>
      <c r="E275" s="139"/>
      <c r="F275" s="139" t="s">
        <v>78</v>
      </c>
      <c r="G275" s="139" t="s">
        <v>167</v>
      </c>
      <c r="H275" s="139" t="s">
        <v>47</v>
      </c>
      <c r="I275" s="139" t="s">
        <v>49</v>
      </c>
      <c r="J275" s="139"/>
    </row>
    <row r="276" spans="1:10" ht="60">
      <c r="A276" s="137">
        <f>HYPERLINK("http://www.westlaw.com/Find/Default.wl?rs=dfa1.0&amp;vr=2.0&amp;FindType=Y&amp;SerialNum=2025654611",149)</f>
        <v>149</v>
      </c>
      <c r="B276" s="138" t="s">
        <v>6804</v>
      </c>
      <c r="C276" s="138" t="s">
        <v>6805</v>
      </c>
      <c r="D276" s="139"/>
      <c r="E276" s="139"/>
      <c r="F276" s="139" t="s">
        <v>78</v>
      </c>
      <c r="G276" s="139" t="s">
        <v>167</v>
      </c>
      <c r="H276" s="139" t="s">
        <v>47</v>
      </c>
      <c r="I276" s="139" t="s">
        <v>49</v>
      </c>
      <c r="J276" s="139"/>
    </row>
    <row r="277" spans="1:10" ht="72">
      <c r="A277" s="137">
        <f>HYPERLINK("http://www.westlaw.com/Find/Default.wl?rs=dfa1.0&amp;vr=2.0&amp;FindType=Y&amp;SerialNum=2025644004",158)</f>
        <v>158</v>
      </c>
      <c r="B277" s="138" t="s">
        <v>6806</v>
      </c>
      <c r="C277" s="138" t="s">
        <v>6807</v>
      </c>
      <c r="D277" s="139"/>
      <c r="E277" s="139"/>
      <c r="F277" s="139" t="s">
        <v>78</v>
      </c>
      <c r="G277" s="139" t="s">
        <v>167</v>
      </c>
      <c r="H277" s="139" t="s">
        <v>47</v>
      </c>
      <c r="I277" s="139" t="s">
        <v>49</v>
      </c>
      <c r="J277" s="139"/>
    </row>
    <row r="278" spans="1:10" ht="72">
      <c r="A278" s="137">
        <f>HYPERLINK("http://www.westlaw.com/Find/Default.wl?rs=dfa1.0&amp;vr=2.0&amp;FindType=Y&amp;SerialNum=2025323425",163)</f>
        <v>163</v>
      </c>
      <c r="B278" s="138" t="s">
        <v>6793</v>
      </c>
      <c r="C278" s="138" t="s">
        <v>6794</v>
      </c>
      <c r="D278" s="139"/>
      <c r="E278" s="139"/>
      <c r="F278" s="139" t="s">
        <v>78</v>
      </c>
      <c r="G278" s="139"/>
      <c r="H278" s="139"/>
      <c r="I278" s="139"/>
      <c r="J278" s="139" t="s">
        <v>6795</v>
      </c>
    </row>
    <row r="279" spans="1:10" ht="90" customHeight="1">
      <c r="A279" s="162">
        <v>1</v>
      </c>
      <c r="B279" s="163" t="s">
        <v>7111</v>
      </c>
      <c r="C279" s="163" t="s">
        <v>7114</v>
      </c>
      <c r="D279" s="139" t="s">
        <v>2735</v>
      </c>
      <c r="E279" s="139"/>
      <c r="F279" s="139" t="s">
        <v>78</v>
      </c>
      <c r="G279" s="139" t="s">
        <v>167</v>
      </c>
      <c r="H279" s="139" t="s">
        <v>111</v>
      </c>
      <c r="I279" s="139" t="s">
        <v>49</v>
      </c>
      <c r="J279" s="139"/>
    </row>
    <row r="280" spans="1:10" ht="90" customHeight="1">
      <c r="A280" s="162">
        <v>2</v>
      </c>
      <c r="B280" s="163" t="s">
        <v>7112</v>
      </c>
      <c r="C280" s="164" t="s">
        <v>7115</v>
      </c>
      <c r="D280" s="139" t="s">
        <v>2735</v>
      </c>
      <c r="E280" s="139"/>
      <c r="F280" s="139" t="s">
        <v>78</v>
      </c>
      <c r="G280" s="139" t="s">
        <v>79</v>
      </c>
      <c r="H280" s="139" t="s">
        <v>5325</v>
      </c>
      <c r="I280" s="139" t="s">
        <v>49</v>
      </c>
      <c r="J280" s="139"/>
    </row>
    <row r="281" spans="1:10" ht="90" customHeight="1">
      <c r="A281" s="162">
        <v>3</v>
      </c>
      <c r="B281" s="163" t="s">
        <v>7113</v>
      </c>
      <c r="C281" s="163" t="s">
        <v>7116</v>
      </c>
      <c r="D281" s="139" t="s">
        <v>2735</v>
      </c>
      <c r="E281" s="139"/>
      <c r="F281" s="139" t="s">
        <v>78</v>
      </c>
      <c r="G281" s="139" t="s">
        <v>79</v>
      </c>
      <c r="H281" s="139" t="s">
        <v>79</v>
      </c>
      <c r="I281" s="139" t="s">
        <v>49</v>
      </c>
      <c r="J281" s="139"/>
    </row>
    <row r="282" spans="1:10">
      <c r="E282" s="42" t="s">
        <v>6191</v>
      </c>
      <c r="F282" s="42">
        <f>COUNTA(F106:F281)</f>
        <v>176</v>
      </c>
    </row>
  </sheetData>
  <sortState ref="A106:J286">
    <sortCondition descending="1" ref="I106:I286"/>
  </sortState>
  <hyperlinks>
    <hyperlink ref="C101" r:id="rId1" display="http://www.supremecourt.gov/opinions/10pdf/10-94.pdf"/>
    <hyperlink ref="C102" r:id="rId2" display="http://www.supremecourt.gov/opinions/10pdf/09-1031.pdf"/>
    <hyperlink ref="A279" r:id="rId3" display="http://www.westlaw.com/Find/Default.wl?rs=dfa1.0&amp;vr=2.0&amp;DB=1654&amp;FindType=Y&amp;SerialNum=2026280396"/>
    <hyperlink ref="A280" r:id="rId4" display="http://www.westlaw.com/Find/Default.wl?rs=dfa1.0&amp;vr=2.0&amp;FindType=Y&amp;SerialNum=2026262724"/>
    <hyperlink ref="A281" r:id="rId5" display="http://www.westlaw.com/Find/Default.wl?rs=dfa1.0&amp;vr=2.0&amp;DB=4593&amp;FindType=Y&amp;SerialNum=2026264215"/>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sheetViews>
  <sheetFormatPr baseColWidth="10" defaultColWidth="8.83203125" defaultRowHeight="14" x14ac:dyDescent="0"/>
  <cols>
    <col min="1" max="1" width="9.1640625" customWidth="1"/>
    <col min="2" max="2" width="20.5" customWidth="1"/>
    <col min="3" max="3" width="23.5" customWidth="1"/>
    <col min="5" max="5" width="8.83203125" bestFit="1" customWidth="1"/>
    <col min="6" max="6" width="6.6640625" bestFit="1" customWidth="1"/>
    <col min="7" max="7" width="14.5" bestFit="1" customWidth="1"/>
    <col min="8" max="8" width="20.5" bestFit="1" customWidth="1"/>
    <col min="9" max="9" width="17.83203125" bestFit="1" customWidth="1"/>
  </cols>
  <sheetData>
    <row r="1" spans="1:5">
      <c r="A1" s="11" t="s">
        <v>1596</v>
      </c>
      <c r="B1" s="12"/>
      <c r="C1" s="12"/>
      <c r="D1" s="39"/>
      <c r="E1" s="39"/>
    </row>
    <row r="2" spans="1:5">
      <c r="A2" s="12"/>
      <c r="B2" s="12"/>
      <c r="C2" s="12"/>
    </row>
    <row r="3" spans="1:5">
      <c r="A3" s="12"/>
      <c r="B3" s="14" t="s">
        <v>24</v>
      </c>
      <c r="C3" s="15"/>
    </row>
    <row r="4" spans="1:5">
      <c r="A4" s="12"/>
      <c r="B4" s="16" t="s">
        <v>25</v>
      </c>
      <c r="C4" s="15">
        <f>D39</f>
        <v>17</v>
      </c>
    </row>
    <row r="5" spans="1:5" ht="25">
      <c r="A5" s="12"/>
      <c r="B5" s="16" t="s">
        <v>26</v>
      </c>
      <c r="C5" s="15">
        <f>D35</f>
        <v>15</v>
      </c>
    </row>
    <row r="6" spans="1:5" ht="25">
      <c r="A6" s="12"/>
      <c r="B6" s="16" t="s">
        <v>27</v>
      </c>
      <c r="C6" s="15">
        <v>0</v>
      </c>
    </row>
    <row r="7" spans="1:5">
      <c r="A7" s="12"/>
      <c r="B7" s="16" t="s">
        <v>28</v>
      </c>
      <c r="C7" s="15">
        <v>0</v>
      </c>
    </row>
    <row r="8" spans="1:5">
      <c r="A8" s="12"/>
      <c r="B8" s="16" t="s">
        <v>29</v>
      </c>
      <c r="C8" s="15">
        <f>D42</f>
        <v>1</v>
      </c>
    </row>
    <row r="9" spans="1:5">
      <c r="A9" s="12"/>
      <c r="B9" s="16" t="s">
        <v>30</v>
      </c>
      <c r="C9" s="15">
        <f>D51</f>
        <v>7</v>
      </c>
    </row>
    <row r="10" spans="1:5" ht="25">
      <c r="A10" s="12"/>
      <c r="B10" s="16" t="s">
        <v>14</v>
      </c>
      <c r="C10" s="15">
        <v>0</v>
      </c>
    </row>
    <row r="11" spans="1:5">
      <c r="A11" s="12"/>
      <c r="B11" s="16" t="s">
        <v>15</v>
      </c>
      <c r="C11" s="15">
        <v>0</v>
      </c>
    </row>
    <row r="12" spans="1:5" ht="25">
      <c r="A12" s="12"/>
      <c r="B12" s="16" t="s">
        <v>31</v>
      </c>
      <c r="C12" s="15">
        <f>D87</f>
        <v>32</v>
      </c>
    </row>
    <row r="13" spans="1:5" ht="25">
      <c r="A13" s="12"/>
      <c r="B13" s="16" t="s">
        <v>32</v>
      </c>
      <c r="C13" s="15">
        <v>0</v>
      </c>
    </row>
    <row r="14" spans="1:5" ht="25">
      <c r="A14" s="12"/>
      <c r="B14" s="16" t="s">
        <v>33</v>
      </c>
      <c r="C14" s="15">
        <v>0</v>
      </c>
    </row>
    <row r="15" spans="1:5">
      <c r="A15" s="12"/>
      <c r="B15" s="16" t="s">
        <v>4</v>
      </c>
      <c r="C15" s="17">
        <f>C4+C6+C7+C8+C9+C10+C11</f>
        <v>25</v>
      </c>
    </row>
    <row r="16" spans="1:5" ht="25">
      <c r="A16" s="12"/>
      <c r="B16" s="16" t="s">
        <v>34</v>
      </c>
      <c r="C16" s="15">
        <v>0</v>
      </c>
    </row>
    <row r="19" spans="1:9">
      <c r="A19" s="42" t="s">
        <v>35</v>
      </c>
      <c r="B19" s="47" t="s">
        <v>36</v>
      </c>
      <c r="C19" s="42" t="s">
        <v>37</v>
      </c>
      <c r="D19" s="42" t="s">
        <v>38</v>
      </c>
      <c r="E19" s="42" t="s">
        <v>39</v>
      </c>
      <c r="F19" s="42" t="s">
        <v>40</v>
      </c>
      <c r="G19" s="42" t="s">
        <v>41</v>
      </c>
      <c r="H19" s="42" t="s">
        <v>42</v>
      </c>
      <c r="I19" s="42" t="s">
        <v>1466</v>
      </c>
    </row>
    <row r="20" spans="1:9" ht="36">
      <c r="A20" s="43">
        <v>5</v>
      </c>
      <c r="B20" s="44" t="s">
        <v>1479</v>
      </c>
      <c r="C20" s="44" t="s">
        <v>1480</v>
      </c>
      <c r="D20" t="s">
        <v>1469</v>
      </c>
      <c r="E20" t="s">
        <v>1470</v>
      </c>
      <c r="F20" t="s">
        <v>1009</v>
      </c>
    </row>
    <row r="21" spans="1:9" ht="48">
      <c r="A21" s="43">
        <v>7</v>
      </c>
      <c r="B21" s="44" t="s">
        <v>1481</v>
      </c>
      <c r="C21" s="44" t="s">
        <v>1482</v>
      </c>
      <c r="D21" t="s">
        <v>1469</v>
      </c>
      <c r="E21" t="s">
        <v>1470</v>
      </c>
      <c r="F21" t="s">
        <v>1009</v>
      </c>
    </row>
    <row r="22" spans="1:9" ht="60">
      <c r="A22" s="43">
        <v>10</v>
      </c>
      <c r="B22" s="44" t="s">
        <v>1483</v>
      </c>
      <c r="C22" s="44" t="s">
        <v>1484</v>
      </c>
      <c r="D22" t="s">
        <v>1469</v>
      </c>
      <c r="E22" t="s">
        <v>1470</v>
      </c>
      <c r="F22" t="s">
        <v>1009</v>
      </c>
    </row>
    <row r="23" spans="1:9" ht="60">
      <c r="A23" s="43">
        <v>13</v>
      </c>
      <c r="B23" s="44" t="s">
        <v>1485</v>
      </c>
      <c r="C23" s="44" t="s">
        <v>1486</v>
      </c>
      <c r="D23" t="s">
        <v>1469</v>
      </c>
      <c r="E23" t="s">
        <v>1470</v>
      </c>
      <c r="F23" t="s">
        <v>1009</v>
      </c>
    </row>
    <row r="24" spans="1:9" ht="48">
      <c r="A24" s="43">
        <v>16</v>
      </c>
      <c r="B24" s="44" t="s">
        <v>1487</v>
      </c>
      <c r="C24" s="44" t="s">
        <v>1488</v>
      </c>
      <c r="D24" t="s">
        <v>1469</v>
      </c>
      <c r="E24" t="s">
        <v>1470</v>
      </c>
      <c r="F24" t="s">
        <v>1009</v>
      </c>
    </row>
    <row r="25" spans="1:9" ht="36">
      <c r="A25" s="43">
        <v>21</v>
      </c>
      <c r="B25" s="44" t="s">
        <v>1489</v>
      </c>
      <c r="C25" s="44" t="s">
        <v>1490</v>
      </c>
      <c r="D25" t="s">
        <v>1469</v>
      </c>
      <c r="E25" t="s">
        <v>1470</v>
      </c>
      <c r="F25" t="s">
        <v>1009</v>
      </c>
    </row>
    <row r="26" spans="1:9" ht="60">
      <c r="A26" s="43">
        <v>22</v>
      </c>
      <c r="B26" s="44" t="s">
        <v>1491</v>
      </c>
      <c r="C26" s="44" t="s">
        <v>1492</v>
      </c>
      <c r="D26" t="s">
        <v>1469</v>
      </c>
      <c r="E26" t="s">
        <v>1470</v>
      </c>
      <c r="F26" t="s">
        <v>1009</v>
      </c>
    </row>
    <row r="27" spans="1:9" ht="48">
      <c r="A27" s="43">
        <v>26</v>
      </c>
      <c r="B27" s="44" t="s">
        <v>1493</v>
      </c>
      <c r="C27" s="44" t="s">
        <v>1494</v>
      </c>
      <c r="D27" t="s">
        <v>1469</v>
      </c>
      <c r="E27" t="s">
        <v>1470</v>
      </c>
      <c r="F27" t="s">
        <v>1009</v>
      </c>
    </row>
    <row r="28" spans="1:9" ht="36">
      <c r="A28" s="43">
        <v>28</v>
      </c>
      <c r="B28" s="44" t="s">
        <v>1495</v>
      </c>
      <c r="C28" s="44" t="s">
        <v>1496</v>
      </c>
      <c r="D28" t="s">
        <v>1469</v>
      </c>
      <c r="E28" t="s">
        <v>1470</v>
      </c>
      <c r="F28" t="s">
        <v>1009</v>
      </c>
    </row>
    <row r="29" spans="1:9" ht="36">
      <c r="A29" s="43">
        <v>32</v>
      </c>
      <c r="B29" s="44" t="s">
        <v>705</v>
      </c>
      <c r="C29" s="44" t="s">
        <v>1497</v>
      </c>
      <c r="D29" t="s">
        <v>1469</v>
      </c>
      <c r="E29" t="s">
        <v>1470</v>
      </c>
      <c r="F29" t="s">
        <v>1009</v>
      </c>
    </row>
    <row r="30" spans="1:9" ht="48">
      <c r="A30" s="43">
        <v>38</v>
      </c>
      <c r="B30" s="44" t="s">
        <v>1498</v>
      </c>
      <c r="C30" s="44" t="s">
        <v>1499</v>
      </c>
      <c r="D30" t="s">
        <v>1469</v>
      </c>
      <c r="E30" t="s">
        <v>1470</v>
      </c>
      <c r="F30" t="s">
        <v>1009</v>
      </c>
    </row>
    <row r="31" spans="1:9" ht="60">
      <c r="A31" s="43">
        <v>40</v>
      </c>
      <c r="B31" s="44" t="s">
        <v>1500</v>
      </c>
      <c r="C31" s="44" t="s">
        <v>1501</v>
      </c>
      <c r="D31" t="s">
        <v>1469</v>
      </c>
      <c r="E31" t="s">
        <v>1470</v>
      </c>
      <c r="F31" t="s">
        <v>1009</v>
      </c>
    </row>
    <row r="32" spans="1:9" ht="84">
      <c r="A32" s="43">
        <v>52</v>
      </c>
      <c r="B32" s="44" t="s">
        <v>1502</v>
      </c>
      <c r="C32" s="44" t="s">
        <v>1503</v>
      </c>
      <c r="D32" t="s">
        <v>1469</v>
      </c>
      <c r="E32" t="s">
        <v>1470</v>
      </c>
      <c r="F32" t="s">
        <v>1009</v>
      </c>
    </row>
    <row r="33" spans="1:9" ht="48">
      <c r="A33" s="43">
        <v>54</v>
      </c>
      <c r="B33" s="44" t="s">
        <v>1504</v>
      </c>
      <c r="C33" s="44" t="s">
        <v>1505</v>
      </c>
      <c r="D33" t="s">
        <v>1469</v>
      </c>
      <c r="E33" t="s">
        <v>1470</v>
      </c>
      <c r="F33" t="s">
        <v>1009</v>
      </c>
    </row>
    <row r="34" spans="1:9" ht="72">
      <c r="A34" s="43">
        <v>55</v>
      </c>
      <c r="B34" s="44" t="s">
        <v>1506</v>
      </c>
      <c r="C34" s="44" t="s">
        <v>1507</v>
      </c>
      <c r="D34" t="s">
        <v>1469</v>
      </c>
      <c r="E34" t="s">
        <v>1470</v>
      </c>
      <c r="F34" t="s">
        <v>1009</v>
      </c>
    </row>
    <row r="35" spans="1:9">
      <c r="A35" s="43"/>
      <c r="B35" s="44"/>
      <c r="C35" s="45" t="s">
        <v>81</v>
      </c>
      <c r="D35" s="42">
        <f>COUNTA(D20:D34)</f>
        <v>15</v>
      </c>
    </row>
    <row r="36" spans="1:9">
      <c r="A36" s="43"/>
      <c r="B36" s="44"/>
      <c r="C36" s="44"/>
    </row>
    <row r="37" spans="1:9" ht="36">
      <c r="A37" s="43">
        <v>34</v>
      </c>
      <c r="B37" s="44" t="s">
        <v>1508</v>
      </c>
      <c r="C37" s="44" t="s">
        <v>1509</v>
      </c>
      <c r="D37" t="s">
        <v>1469</v>
      </c>
      <c r="F37" t="s">
        <v>1009</v>
      </c>
    </row>
    <row r="38" spans="1:9" ht="72">
      <c r="A38" s="43">
        <v>48</v>
      </c>
      <c r="B38" s="44" t="s">
        <v>1510</v>
      </c>
      <c r="C38" s="44" t="s">
        <v>1511</v>
      </c>
      <c r="D38" t="s">
        <v>1469</v>
      </c>
      <c r="F38" t="s">
        <v>1009</v>
      </c>
    </row>
    <row r="39" spans="1:9">
      <c r="A39" s="43"/>
      <c r="B39" s="44"/>
      <c r="C39" s="45" t="s">
        <v>88</v>
      </c>
      <c r="D39" s="42">
        <f>COUNTA(D37:D38)+D35</f>
        <v>17</v>
      </c>
    </row>
    <row r="40" spans="1:9">
      <c r="A40" s="43"/>
      <c r="B40" s="44"/>
      <c r="C40" s="44"/>
    </row>
    <row r="41" spans="1:9" ht="48">
      <c r="A41" s="43">
        <v>24</v>
      </c>
      <c r="B41" s="44" t="s">
        <v>1512</v>
      </c>
      <c r="C41" s="44" t="s">
        <v>1513</v>
      </c>
      <c r="D41" t="s">
        <v>1514</v>
      </c>
      <c r="F41" t="s">
        <v>1009</v>
      </c>
    </row>
    <row r="42" spans="1:9">
      <c r="A42" s="43"/>
      <c r="B42" s="44"/>
      <c r="C42" s="45" t="s">
        <v>95</v>
      </c>
      <c r="D42" s="42">
        <f>COUNTA(D41)</f>
        <v>1</v>
      </c>
    </row>
    <row r="43" spans="1:9">
      <c r="A43" s="43"/>
      <c r="B43" s="44"/>
      <c r="C43" s="44"/>
    </row>
    <row r="44" spans="1:9" ht="48">
      <c r="A44" s="43">
        <v>36</v>
      </c>
      <c r="B44" s="44" t="s">
        <v>1515</v>
      </c>
      <c r="C44" s="44" t="s">
        <v>1516</v>
      </c>
      <c r="D44" t="s">
        <v>1517</v>
      </c>
      <c r="F44" t="s">
        <v>1009</v>
      </c>
    </row>
    <row r="45" spans="1:9" ht="48">
      <c r="A45" s="43">
        <v>37</v>
      </c>
      <c r="B45" s="44" t="s">
        <v>1518</v>
      </c>
      <c r="C45" s="44" t="s">
        <v>1519</v>
      </c>
      <c r="D45" t="s">
        <v>1517</v>
      </c>
      <c r="F45" t="s">
        <v>1009</v>
      </c>
    </row>
    <row r="46" spans="1:9" ht="84">
      <c r="A46" s="43">
        <v>60</v>
      </c>
      <c r="B46" s="44" t="s">
        <v>1520</v>
      </c>
      <c r="C46" s="44" t="s">
        <v>1521</v>
      </c>
      <c r="D46" t="s">
        <v>1517</v>
      </c>
      <c r="F46" t="s">
        <v>1009</v>
      </c>
    </row>
    <row r="47" spans="1:9" ht="72">
      <c r="A47" s="48">
        <v>33</v>
      </c>
      <c r="B47" s="49" t="s">
        <v>1522</v>
      </c>
      <c r="C47" s="49" t="s">
        <v>1523</v>
      </c>
      <c r="D47" s="50" t="s">
        <v>1517</v>
      </c>
      <c r="E47" s="50"/>
      <c r="F47" s="50" t="s">
        <v>1010</v>
      </c>
      <c r="G47" s="50" t="s">
        <v>1524</v>
      </c>
      <c r="H47" s="50"/>
      <c r="I47" s="50" t="s">
        <v>1010</v>
      </c>
    </row>
    <row r="48" spans="1:9" ht="36">
      <c r="A48" s="43">
        <v>6</v>
      </c>
      <c r="B48" s="44" t="s">
        <v>1525</v>
      </c>
      <c r="C48" s="44" t="s">
        <v>1526</v>
      </c>
      <c r="D48" t="s">
        <v>1527</v>
      </c>
      <c r="F48" t="s">
        <v>1009</v>
      </c>
    </row>
    <row r="49" spans="1:6" ht="72">
      <c r="A49" s="43">
        <v>25</v>
      </c>
      <c r="B49" s="44" t="s">
        <v>1528</v>
      </c>
      <c r="C49" s="44" t="s">
        <v>1529</v>
      </c>
      <c r="D49" t="s">
        <v>1527</v>
      </c>
      <c r="F49" t="s">
        <v>1009</v>
      </c>
    </row>
    <row r="50" spans="1:6" ht="36">
      <c r="A50" s="43">
        <v>49</v>
      </c>
      <c r="B50" s="44" t="s">
        <v>1530</v>
      </c>
      <c r="C50" s="44" t="s">
        <v>1531</v>
      </c>
      <c r="D50" t="s">
        <v>1527</v>
      </c>
      <c r="F50" t="s">
        <v>1009</v>
      </c>
    </row>
    <row r="51" spans="1:6">
      <c r="A51" s="43"/>
      <c r="B51" s="44"/>
      <c r="C51" s="45" t="s">
        <v>95</v>
      </c>
      <c r="D51" s="42">
        <f>COUNTA(D44:D50)</f>
        <v>7</v>
      </c>
    </row>
    <row r="52" spans="1:6">
      <c r="A52" s="43"/>
      <c r="B52" s="44"/>
      <c r="C52" s="44"/>
    </row>
    <row r="53" spans="1:6">
      <c r="A53" s="43"/>
      <c r="B53" s="44"/>
      <c r="C53" s="44"/>
    </row>
    <row r="54" spans="1:6">
      <c r="A54" s="43"/>
      <c r="B54" s="44"/>
      <c r="C54" s="44"/>
    </row>
    <row r="55" spans="1:6" ht="72">
      <c r="A55" s="43">
        <v>1</v>
      </c>
      <c r="B55" s="44" t="s">
        <v>1532</v>
      </c>
      <c r="C55" s="44" t="s">
        <v>1533</v>
      </c>
      <c r="D55" t="s">
        <v>1473</v>
      </c>
      <c r="E55" t="s">
        <v>1470</v>
      </c>
      <c r="F55" t="s">
        <v>1009</v>
      </c>
    </row>
    <row r="56" spans="1:6" ht="36">
      <c r="A56" s="43">
        <v>3</v>
      </c>
      <c r="B56" s="44" t="s">
        <v>1534</v>
      </c>
      <c r="C56" s="44" t="s">
        <v>1535</v>
      </c>
      <c r="D56" t="s">
        <v>1473</v>
      </c>
      <c r="E56" t="s">
        <v>1470</v>
      </c>
      <c r="F56" t="s">
        <v>1009</v>
      </c>
    </row>
    <row r="57" spans="1:6" ht="60">
      <c r="A57" s="43">
        <v>4</v>
      </c>
      <c r="B57" s="44" t="s">
        <v>1536</v>
      </c>
      <c r="C57" s="44" t="s">
        <v>1537</v>
      </c>
      <c r="D57" t="s">
        <v>1473</v>
      </c>
      <c r="E57" t="s">
        <v>1470</v>
      </c>
      <c r="F57" t="s">
        <v>1009</v>
      </c>
    </row>
    <row r="58" spans="1:6" ht="48">
      <c r="A58" s="43">
        <v>8</v>
      </c>
      <c r="B58" s="44" t="s">
        <v>1538</v>
      </c>
      <c r="C58" s="44" t="s">
        <v>1539</v>
      </c>
      <c r="D58" t="s">
        <v>1473</v>
      </c>
      <c r="E58" t="s">
        <v>1470</v>
      </c>
      <c r="F58" t="s">
        <v>1009</v>
      </c>
    </row>
    <row r="59" spans="1:6" ht="36">
      <c r="A59" s="43">
        <v>11</v>
      </c>
      <c r="B59" s="44" t="s">
        <v>1540</v>
      </c>
      <c r="C59" s="44" t="s">
        <v>1541</v>
      </c>
      <c r="D59" t="s">
        <v>1473</v>
      </c>
      <c r="E59" t="s">
        <v>1470</v>
      </c>
      <c r="F59" t="s">
        <v>1009</v>
      </c>
    </row>
    <row r="60" spans="1:6" ht="72">
      <c r="A60" s="43">
        <v>12</v>
      </c>
      <c r="B60" s="44" t="s">
        <v>1542</v>
      </c>
      <c r="C60" s="44" t="s">
        <v>1543</v>
      </c>
      <c r="D60" t="s">
        <v>1473</v>
      </c>
      <c r="E60" t="s">
        <v>1470</v>
      </c>
      <c r="F60" t="s">
        <v>1009</v>
      </c>
    </row>
    <row r="61" spans="1:6" ht="48">
      <c r="A61" s="43">
        <v>14</v>
      </c>
      <c r="B61" s="44" t="s">
        <v>1544</v>
      </c>
      <c r="C61" s="44" t="s">
        <v>1545</v>
      </c>
      <c r="D61" t="s">
        <v>1473</v>
      </c>
      <c r="E61" t="s">
        <v>1470</v>
      </c>
      <c r="F61" t="s">
        <v>1009</v>
      </c>
    </row>
    <row r="62" spans="1:6" ht="36">
      <c r="A62" s="43">
        <v>15</v>
      </c>
      <c r="B62" s="44" t="s">
        <v>1546</v>
      </c>
      <c r="C62" s="44" t="s">
        <v>1547</v>
      </c>
      <c r="D62" t="s">
        <v>1473</v>
      </c>
      <c r="E62" t="s">
        <v>1470</v>
      </c>
      <c r="F62" t="s">
        <v>1009</v>
      </c>
    </row>
    <row r="63" spans="1:6" ht="36">
      <c r="A63" s="43">
        <v>17</v>
      </c>
      <c r="B63" s="44" t="s">
        <v>1548</v>
      </c>
      <c r="C63" s="44" t="s">
        <v>1549</v>
      </c>
      <c r="D63" t="s">
        <v>1473</v>
      </c>
      <c r="E63" t="s">
        <v>1470</v>
      </c>
      <c r="F63" t="s">
        <v>1009</v>
      </c>
    </row>
    <row r="64" spans="1:6" ht="72">
      <c r="A64" s="43">
        <v>18</v>
      </c>
      <c r="B64" s="44" t="s">
        <v>1550</v>
      </c>
      <c r="C64" s="44" t="s">
        <v>1551</v>
      </c>
      <c r="D64" t="s">
        <v>1473</v>
      </c>
      <c r="F64" t="s">
        <v>1009</v>
      </c>
    </row>
    <row r="65" spans="1:6" ht="36">
      <c r="A65" s="43">
        <v>19</v>
      </c>
      <c r="B65" s="44" t="s">
        <v>1552</v>
      </c>
      <c r="C65" s="44" t="s">
        <v>1553</v>
      </c>
      <c r="D65" t="s">
        <v>1473</v>
      </c>
      <c r="E65" t="s">
        <v>1470</v>
      </c>
      <c r="F65" t="s">
        <v>1009</v>
      </c>
    </row>
    <row r="66" spans="1:6" ht="36">
      <c r="A66" s="43">
        <v>20</v>
      </c>
      <c r="B66" s="44" t="s">
        <v>1554</v>
      </c>
      <c r="C66" s="44" t="s">
        <v>1555</v>
      </c>
      <c r="D66" t="s">
        <v>1473</v>
      </c>
      <c r="E66" t="s">
        <v>1470</v>
      </c>
      <c r="F66" t="s">
        <v>1009</v>
      </c>
    </row>
    <row r="67" spans="1:6" ht="36">
      <c r="A67" s="43">
        <v>23</v>
      </c>
      <c r="B67" s="44" t="s">
        <v>1556</v>
      </c>
      <c r="C67" s="44" t="s">
        <v>1557</v>
      </c>
      <c r="D67" t="s">
        <v>1473</v>
      </c>
      <c r="E67" t="s">
        <v>1470</v>
      </c>
      <c r="F67" t="s">
        <v>1009</v>
      </c>
    </row>
    <row r="68" spans="1:6" ht="48">
      <c r="A68" s="43">
        <v>27</v>
      </c>
      <c r="B68" s="44" t="s">
        <v>1558</v>
      </c>
      <c r="C68" s="44" t="s">
        <v>1559</v>
      </c>
      <c r="D68" t="s">
        <v>1473</v>
      </c>
      <c r="E68" t="s">
        <v>1470</v>
      </c>
      <c r="F68" t="s">
        <v>1009</v>
      </c>
    </row>
    <row r="69" spans="1:6" ht="48">
      <c r="A69" s="43">
        <v>29</v>
      </c>
      <c r="B69" s="44" t="s">
        <v>1560</v>
      </c>
      <c r="C69" s="44" t="s">
        <v>1561</v>
      </c>
      <c r="D69" t="s">
        <v>1473</v>
      </c>
      <c r="E69" t="s">
        <v>1470</v>
      </c>
      <c r="F69" t="s">
        <v>1009</v>
      </c>
    </row>
    <row r="70" spans="1:6" ht="84">
      <c r="A70" s="43">
        <v>30</v>
      </c>
      <c r="B70" s="44" t="s">
        <v>1562</v>
      </c>
      <c r="C70" s="44" t="s">
        <v>1563</v>
      </c>
      <c r="D70" t="s">
        <v>1473</v>
      </c>
      <c r="E70" t="s">
        <v>1470</v>
      </c>
      <c r="F70" t="s">
        <v>1009</v>
      </c>
    </row>
    <row r="71" spans="1:6" ht="36">
      <c r="A71" s="43">
        <v>31</v>
      </c>
      <c r="B71" s="44" t="s">
        <v>1564</v>
      </c>
      <c r="C71" s="44" t="s">
        <v>1565</v>
      </c>
      <c r="D71" t="s">
        <v>1473</v>
      </c>
      <c r="E71" t="s">
        <v>1470</v>
      </c>
      <c r="F71" t="s">
        <v>1009</v>
      </c>
    </row>
    <row r="72" spans="1:6" ht="60">
      <c r="A72" s="43">
        <v>35</v>
      </c>
      <c r="B72" s="44" t="s">
        <v>1566</v>
      </c>
      <c r="C72" s="44" t="s">
        <v>1567</v>
      </c>
      <c r="D72" t="s">
        <v>1473</v>
      </c>
      <c r="E72" t="s">
        <v>1470</v>
      </c>
      <c r="F72" t="s">
        <v>1009</v>
      </c>
    </row>
    <row r="73" spans="1:6" ht="36">
      <c r="A73" s="43">
        <v>39</v>
      </c>
      <c r="B73" s="44" t="s">
        <v>1568</v>
      </c>
      <c r="C73" s="44" t="s">
        <v>1569</v>
      </c>
      <c r="D73" t="s">
        <v>1473</v>
      </c>
      <c r="E73" t="s">
        <v>1470</v>
      </c>
      <c r="F73" t="s">
        <v>1009</v>
      </c>
    </row>
    <row r="74" spans="1:6" ht="60">
      <c r="A74" s="43">
        <v>41</v>
      </c>
      <c r="B74" s="44" t="s">
        <v>1570</v>
      </c>
      <c r="C74" s="44" t="s">
        <v>1571</v>
      </c>
      <c r="D74" t="s">
        <v>1473</v>
      </c>
      <c r="E74" t="s">
        <v>1470</v>
      </c>
      <c r="F74" t="s">
        <v>1009</v>
      </c>
    </row>
    <row r="75" spans="1:6" ht="48">
      <c r="A75" s="43">
        <v>42</v>
      </c>
      <c r="B75" s="44" t="s">
        <v>1572</v>
      </c>
      <c r="C75" s="44" t="s">
        <v>1573</v>
      </c>
      <c r="D75" t="s">
        <v>1473</v>
      </c>
      <c r="E75" t="s">
        <v>1470</v>
      </c>
      <c r="F75" t="s">
        <v>1009</v>
      </c>
    </row>
    <row r="76" spans="1:6" ht="48">
      <c r="A76" s="43">
        <v>43</v>
      </c>
      <c r="B76" s="44" t="s">
        <v>1574</v>
      </c>
      <c r="C76" s="44" t="s">
        <v>1575</v>
      </c>
      <c r="D76" t="s">
        <v>1473</v>
      </c>
      <c r="F76" t="s">
        <v>1009</v>
      </c>
    </row>
    <row r="77" spans="1:6" ht="36">
      <c r="A77" s="43">
        <v>44</v>
      </c>
      <c r="B77" s="44" t="s">
        <v>1576</v>
      </c>
      <c r="C77" s="44" t="s">
        <v>1577</v>
      </c>
      <c r="D77" t="s">
        <v>1473</v>
      </c>
      <c r="E77" t="s">
        <v>1470</v>
      </c>
      <c r="F77" t="s">
        <v>1009</v>
      </c>
    </row>
    <row r="78" spans="1:6" ht="60">
      <c r="A78" s="43">
        <v>45</v>
      </c>
      <c r="B78" s="44" t="s">
        <v>1578</v>
      </c>
      <c r="C78" s="44" t="s">
        <v>1579</v>
      </c>
      <c r="D78" t="s">
        <v>1473</v>
      </c>
      <c r="F78" t="s">
        <v>1009</v>
      </c>
    </row>
    <row r="79" spans="1:6" ht="84">
      <c r="A79" s="43">
        <v>47</v>
      </c>
      <c r="B79" s="44" t="s">
        <v>1580</v>
      </c>
      <c r="C79" s="44" t="s">
        <v>1581</v>
      </c>
      <c r="D79" t="s">
        <v>1473</v>
      </c>
      <c r="F79" t="s">
        <v>1009</v>
      </c>
    </row>
    <row r="80" spans="1:6" ht="48">
      <c r="A80" s="43">
        <v>50</v>
      </c>
      <c r="B80" s="44" t="s">
        <v>1582</v>
      </c>
      <c r="C80" s="44" t="s">
        <v>1583</v>
      </c>
      <c r="D80" t="s">
        <v>1473</v>
      </c>
      <c r="E80" t="s">
        <v>1470</v>
      </c>
      <c r="F80" t="s">
        <v>1009</v>
      </c>
    </row>
    <row r="81" spans="1:6" ht="72">
      <c r="A81" s="43">
        <v>51</v>
      </c>
      <c r="B81" s="44" t="s">
        <v>1584</v>
      </c>
      <c r="C81" s="44" t="s">
        <v>1585</v>
      </c>
      <c r="D81" t="s">
        <v>1473</v>
      </c>
      <c r="E81" t="s">
        <v>1470</v>
      </c>
      <c r="F81" t="s">
        <v>1009</v>
      </c>
    </row>
    <row r="82" spans="1:6" ht="36">
      <c r="A82" s="43">
        <v>53</v>
      </c>
      <c r="B82" s="44" t="s">
        <v>1586</v>
      </c>
      <c r="C82" s="44" t="s">
        <v>1587</v>
      </c>
      <c r="D82" t="s">
        <v>1473</v>
      </c>
      <c r="E82" t="s">
        <v>1470</v>
      </c>
      <c r="F82" t="s">
        <v>1009</v>
      </c>
    </row>
    <row r="83" spans="1:6" ht="48">
      <c r="A83" s="43">
        <v>57</v>
      </c>
      <c r="B83" s="44" t="s">
        <v>1588</v>
      </c>
      <c r="C83" s="44" t="s">
        <v>1589</v>
      </c>
      <c r="D83" t="s">
        <v>1473</v>
      </c>
      <c r="E83" t="s">
        <v>1470</v>
      </c>
      <c r="F83" t="s">
        <v>1009</v>
      </c>
    </row>
    <row r="84" spans="1:6" ht="36">
      <c r="A84" s="43">
        <v>58</v>
      </c>
      <c r="B84" s="44" t="s">
        <v>1590</v>
      </c>
      <c r="C84" s="44" t="s">
        <v>1591</v>
      </c>
      <c r="D84" t="s">
        <v>1473</v>
      </c>
      <c r="E84" t="s">
        <v>1470</v>
      </c>
      <c r="F84" t="s">
        <v>1009</v>
      </c>
    </row>
    <row r="85" spans="1:6" ht="48">
      <c r="A85" s="43">
        <v>59</v>
      </c>
      <c r="B85" s="44" t="s">
        <v>1592</v>
      </c>
      <c r="C85" s="44" t="s">
        <v>1593</v>
      </c>
      <c r="D85" t="s">
        <v>1473</v>
      </c>
      <c r="E85" t="s">
        <v>1470</v>
      </c>
      <c r="F85" t="s">
        <v>1009</v>
      </c>
    </row>
    <row r="86" spans="1:6" ht="108">
      <c r="A86" s="43">
        <v>9</v>
      </c>
      <c r="B86" s="44" t="s">
        <v>1594</v>
      </c>
      <c r="C86" s="44" t="s">
        <v>1595</v>
      </c>
      <c r="D86" t="s">
        <v>1473</v>
      </c>
      <c r="E86" t="s">
        <v>1470</v>
      </c>
      <c r="F86" t="s">
        <v>1009</v>
      </c>
    </row>
    <row r="87" spans="1:6">
      <c r="B87" s="40"/>
      <c r="C87" s="47" t="s">
        <v>95</v>
      </c>
      <c r="D87" s="42">
        <f>COUNTA(D55:D86)</f>
        <v>32</v>
      </c>
    </row>
  </sheetData>
  <hyperlinks>
    <hyperlink ref="A55" r:id="rId1" display="http://www.westlaw.com/Find/Default.wl?rs=dfa1.0&amp;vr=2.0&amp;DB=350&amp;FindType=Y&amp;SerialNum=1991158707"/>
    <hyperlink ref="A56" r:id="rId2" display="http://www.westlaw.com/Find/Default.wl?rs=dfa1.0&amp;vr=2.0&amp;DB=350&amp;FindType=Y&amp;SerialNum=1991144786"/>
    <hyperlink ref="A57" r:id="rId3" display="http://www.westlaw.com/Find/Default.wl?rs=dfa1.0&amp;vr=2.0&amp;DB=350&amp;FindType=Y&amp;SerialNum=1991144326"/>
    <hyperlink ref="A20" r:id="rId4" display="http://www.westlaw.com/Find/Default.wl?rs=dfa1.0&amp;vr=2.0&amp;DB=350&amp;FindType=Y&amp;SerialNum=1991141113"/>
    <hyperlink ref="A48" r:id="rId5" display="http://www.westlaw.com/Find/Default.wl?rs=dfa1.0&amp;vr=2.0&amp;FindType=Y&amp;SerialNum=1991137381"/>
    <hyperlink ref="A21" r:id="rId6" display="http://www.westlaw.com/Find/Default.wl?rs=dfa1.0&amp;vr=2.0&amp;DB=350&amp;FindType=Y&amp;SerialNum=1991137382"/>
    <hyperlink ref="A58" r:id="rId7" display="http://www.westlaw.com/Find/Default.wl?rs=dfa1.0&amp;vr=2.0&amp;DB=350&amp;FindType=Y&amp;SerialNum=1991131797"/>
    <hyperlink ref="A86" r:id="rId8" display="http://www.westlaw.com/Find/Default.wl?rs=dfa1.0&amp;vr=2.0&amp;DB=350&amp;FindType=Y&amp;SerialNum=1991131801"/>
    <hyperlink ref="A22" r:id="rId9" display="http://www.westlaw.com/Find/Default.wl?rs=dfa1.0&amp;vr=2.0&amp;DB=350&amp;FindType=Y&amp;SerialNum=1991123671"/>
    <hyperlink ref="A59" r:id="rId10" display="http://www.westlaw.com/Find/Default.wl?rs=dfa1.0&amp;vr=2.0&amp;DB=350&amp;FindType=Y&amp;SerialNum=1991123165"/>
    <hyperlink ref="A60" r:id="rId11" display="http://www.westlaw.com/Find/Default.wl?rs=dfa1.0&amp;vr=2.0&amp;DB=350&amp;FindType=Y&amp;SerialNum=1991120627"/>
    <hyperlink ref="A23" r:id="rId12" display="http://www.westlaw.com/Find/Default.wl?rs=dfa1.0&amp;vr=2.0&amp;DB=350&amp;FindType=Y&amp;SerialNum=1991120075"/>
    <hyperlink ref="A61" r:id="rId13" display="http://www.westlaw.com/Find/Default.wl?rs=dfa1.0&amp;vr=2.0&amp;DB=350&amp;FindType=Y&amp;SerialNum=1991119323"/>
    <hyperlink ref="A62" r:id="rId14" display="http://www.westlaw.com/Find/Default.wl?rs=dfa1.0&amp;vr=2.0&amp;DB=350&amp;FindType=Y&amp;SerialNum=1991117499"/>
    <hyperlink ref="A24" r:id="rId15" display="http://www.westlaw.com/Find/Default.wl?rs=dfa1.0&amp;vr=2.0&amp;DB=350&amp;FindType=Y&amp;SerialNum=1991117494"/>
    <hyperlink ref="A63" r:id="rId16" display="http://www.westlaw.com/Find/Default.wl?rs=dfa1.0&amp;vr=2.0&amp;DB=350&amp;FindType=Y&amp;SerialNum=1991114941"/>
    <hyperlink ref="A64" r:id="rId17" display="http://www.westlaw.com/Find/Default.wl?rs=dfa1.0&amp;vr=2.0&amp;DB=350&amp;FindType=Y&amp;SerialNum=1991111491"/>
    <hyperlink ref="A65" r:id="rId18" display="http://www.westlaw.com/Find/Default.wl?rs=dfa1.0&amp;vr=2.0&amp;DB=350&amp;FindType=Y&amp;SerialNum=1991107575"/>
    <hyperlink ref="A66" r:id="rId19" display="http://www.westlaw.com/Find/Default.wl?rs=dfa1.0&amp;vr=2.0&amp;DB=350&amp;FindType=Y&amp;SerialNum=1991103948"/>
    <hyperlink ref="A25" r:id="rId20" display="http://www.westlaw.com/Find/Default.wl?rs=dfa1.0&amp;vr=2.0&amp;DB=350&amp;FindType=Y&amp;SerialNum=1991101444"/>
    <hyperlink ref="A26" r:id="rId21" display="http://www.westlaw.com/Find/Default.wl?rs=dfa1.0&amp;vr=2.0&amp;DB=350&amp;FindType=Y&amp;SerialNum=1991099752"/>
    <hyperlink ref="A67" r:id="rId22" display="http://www.westlaw.com/Find/Default.wl?rs=dfa1.0&amp;vr=2.0&amp;DB=350&amp;FindType=Y&amp;SerialNum=1991096974"/>
    <hyperlink ref="A41" r:id="rId23" display="http://www.westlaw.com/Find/Default.wl?rs=dfa1.0&amp;vr=2.0&amp;DB=350&amp;FindType=Y&amp;SerialNum=1991088556"/>
    <hyperlink ref="A49" r:id="rId24" display="http://www.westlaw.com/Find/Default.wl?rs=dfa1.0&amp;vr=2.0&amp;DB=350&amp;FindType=Y&amp;SerialNum=1991082952"/>
    <hyperlink ref="A27" r:id="rId25" display="http://www.westlaw.com/Find/Default.wl?rs=dfa1.0&amp;vr=2.0&amp;DB=350&amp;FindType=Y&amp;SerialNum=1991077568"/>
    <hyperlink ref="A68" r:id="rId26" display="http://www.westlaw.com/Find/Default.wl?rs=dfa1.0&amp;vr=2.0&amp;DB=350&amp;FindType=Y&amp;SerialNum=1991073843"/>
    <hyperlink ref="A28" r:id="rId27" display="http://www.westlaw.com/Find/Default.wl?rs=dfa1.0&amp;vr=2.0&amp;DB=350&amp;FindType=Y&amp;SerialNum=1991073051"/>
    <hyperlink ref="A69" r:id="rId28" display="http://www.westlaw.com/Find/Default.wl?rs=dfa1.0&amp;vr=2.0&amp;DB=350&amp;FindType=Y&amp;SerialNum=1991071848"/>
    <hyperlink ref="A70" r:id="rId29" display="http://www.westlaw.com/Find/Default.wl?rs=dfa1.0&amp;vr=2.0&amp;DB=350&amp;FindType=Y&amp;SerialNum=1991070141"/>
    <hyperlink ref="A71" r:id="rId30" display="http://www.westlaw.com/Find/Default.wl?rs=dfa1.0&amp;vr=2.0&amp;DB=350&amp;FindType=Y&amp;SerialNum=1991066326"/>
    <hyperlink ref="A29" r:id="rId31" display="http://www.westlaw.com/Find/Default.wl?rs=dfa1.0&amp;vr=2.0&amp;DB=350&amp;FindType=Y&amp;SerialNum=1991065097"/>
    <hyperlink ref="A47" r:id="rId32" display="http://www.westlaw.com/Find/Default.wl?rs=dfa1.0&amp;vr=2.0&amp;DB=864&amp;FindType=Y&amp;SerialNum=1991063535"/>
    <hyperlink ref="A37" r:id="rId33" display="http://www.westlaw.com/Find/Default.wl?rs=dfa1.0&amp;vr=2.0&amp;DB=350&amp;FindType=Y&amp;SerialNum=1991062762"/>
    <hyperlink ref="A72" r:id="rId34" display="http://www.westlaw.com/Find/Default.wl?rs=dfa1.0&amp;vr=2.0&amp;DB=350&amp;FindType=Y&amp;SerialNum=1991058555"/>
    <hyperlink ref="A44" r:id="rId35" display="http://www.westlaw.com/Find/Default.wl?rs=dfa1.0&amp;vr=2.0&amp;DB=350&amp;FindType=Y&amp;SerialNum=1991048268"/>
    <hyperlink ref="A45" r:id="rId36" display="http://www.westlaw.com/Find/Default.wl?rs=dfa1.0&amp;vr=2.0&amp;DB=350&amp;FindType=Y&amp;SerialNum=1991046215"/>
    <hyperlink ref="A30" r:id="rId37" display="http://www.westlaw.com/Find/Default.wl?rs=dfa1.0&amp;vr=2.0&amp;DB=350&amp;FindType=Y&amp;SerialNum=1991035314"/>
    <hyperlink ref="A73" r:id="rId38" display="http://www.westlaw.com/Find/Default.wl?rs=dfa1.0&amp;vr=2.0&amp;DB=350&amp;FindType=Y&amp;SerialNum=1991034256"/>
    <hyperlink ref="A31" r:id="rId39" display="http://www.westlaw.com/Find/Default.wl?rs=dfa1.0&amp;vr=2.0&amp;DB=350&amp;FindType=Y&amp;SerialNum=1991032068"/>
    <hyperlink ref="A74" r:id="rId40" display="http://www.westlaw.com/Find/Default.wl?rs=dfa1.0&amp;vr=2.0&amp;DB=350&amp;FindType=Y&amp;SerialNum=1991031266"/>
    <hyperlink ref="A75" r:id="rId41" display="http://www.westlaw.com/Find/Default.wl?rs=dfa1.0&amp;vr=2.0&amp;DB=913&amp;FindType=Y&amp;SerialNum=1991031269"/>
    <hyperlink ref="A76" r:id="rId42" display="http://www.westlaw.com/Find/Default.wl?rs=dfa1.0&amp;vr=2.0&amp;DB=350&amp;FindType=Y&amp;SerialNum=1991028910"/>
    <hyperlink ref="A77" r:id="rId43" display="http://www.westlaw.com/Find/Default.wl?rs=dfa1.0&amp;vr=2.0&amp;DB=350&amp;FindType=Y&amp;SerialNum=1991026760"/>
    <hyperlink ref="A78" r:id="rId44" display="http://www.westlaw.com/Find/Default.wl?rs=dfa1.0&amp;vr=2.0&amp;DB=350&amp;FindType=Y&amp;SerialNum=1991021061"/>
    <hyperlink ref="A79" r:id="rId45" display="http://www.westlaw.com/Find/Default.wl?rs=dfa1.0&amp;vr=2.0&amp;DB=350&amp;FindType=Y&amp;SerialNum=1991015699"/>
    <hyperlink ref="A38" r:id="rId46" display="http://www.westlaw.com/Find/Default.wl?rs=dfa1.0&amp;vr=2.0&amp;DB=350&amp;FindType=Y&amp;SerialNum=1990181807"/>
    <hyperlink ref="A50" r:id="rId47" display="http://www.westlaw.com/Find/Default.wl?rs=dfa1.0&amp;vr=2.0&amp;DB=350&amp;FindType=Y&amp;SerialNum=1990181826"/>
    <hyperlink ref="A80" r:id="rId48" display="http://www.westlaw.com/Find/Default.wl?rs=dfa1.0&amp;vr=2.0&amp;DB=350&amp;FindType=Y&amp;SerialNum=1990177146"/>
    <hyperlink ref="A81" r:id="rId49" display="http://www.westlaw.com/Find/Default.wl?rs=dfa1.0&amp;vr=2.0&amp;DB=350&amp;FindType=Y&amp;SerialNum=1990176818"/>
    <hyperlink ref="A32" r:id="rId50" display="http://www.westlaw.com/Find/Default.wl?rs=dfa1.0&amp;vr=2.0&amp;DB=350&amp;FindType=Y&amp;SerialNum=1990176819"/>
    <hyperlink ref="A82" r:id="rId51" display="http://www.westlaw.com/Find/Default.wl?rs=dfa1.0&amp;vr=2.0&amp;DB=350&amp;FindType=Y&amp;SerialNum=1990175969"/>
    <hyperlink ref="A33" r:id="rId52" display="http://www.westlaw.com/Find/Default.wl?rs=dfa1.0&amp;vr=2.0&amp;DB=350&amp;FindType=Y&amp;SerialNum=1990172239"/>
    <hyperlink ref="A34" r:id="rId53" display="http://www.westlaw.com/Find/Default.wl?rs=dfa1.0&amp;vr=2.0&amp;DB=350&amp;FindType=Y&amp;SerialNum=1990172231"/>
    <hyperlink ref="A83" r:id="rId54" display="http://www.westlaw.com/Find/Default.wl?rs=dfa1.0&amp;vr=2.0&amp;DB=350&amp;FindType=Y&amp;SerialNum=1990168478"/>
    <hyperlink ref="A84" r:id="rId55" display="http://www.westlaw.com/Find/Default.wl?rs=dfa1.0&amp;vr=2.0&amp;DB=350&amp;FindType=Y&amp;SerialNum=1990162167"/>
    <hyperlink ref="A85" r:id="rId56" display="http://www.westlaw.com/Find/Default.wl?rs=dfa1.0&amp;vr=2.0&amp;DB=350&amp;FindType=Y&amp;SerialNum=1991051112"/>
    <hyperlink ref="A46" r:id="rId57" display="http://www.westlaw.com/Find/Default.wl?rs=dfa1.0&amp;vr=2.0&amp;DB=350&amp;FindType=Y&amp;SerialNum=1990152708"/>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sheetViews>
  <sheetFormatPr baseColWidth="10" defaultColWidth="8.83203125" defaultRowHeight="14" x14ac:dyDescent="0"/>
  <cols>
    <col min="1" max="1" width="13.1640625" customWidth="1"/>
    <col min="2" max="2" width="20.5" customWidth="1"/>
    <col min="3" max="3" width="23.5" customWidth="1"/>
    <col min="5" max="5" width="8.83203125" bestFit="1" customWidth="1"/>
    <col min="6" max="6" width="6.6640625" bestFit="1" customWidth="1"/>
    <col min="7" max="7" width="14.5" bestFit="1" customWidth="1"/>
    <col min="8" max="8" width="20.5" bestFit="1" customWidth="1"/>
    <col min="9" max="9" width="17.83203125" bestFit="1" customWidth="1"/>
    <col min="10" max="10" width="6.33203125" bestFit="1" customWidth="1"/>
  </cols>
  <sheetData>
    <row r="1" spans="1:6">
      <c r="A1" s="11" t="s">
        <v>1731</v>
      </c>
      <c r="B1" s="12"/>
      <c r="C1" s="12"/>
      <c r="E1" s="39"/>
      <c r="F1" s="39"/>
    </row>
    <row r="2" spans="1:6">
      <c r="A2" s="12"/>
      <c r="B2" s="12"/>
      <c r="C2" s="12"/>
    </row>
    <row r="3" spans="1:6">
      <c r="A3" s="12"/>
      <c r="B3" s="14" t="s">
        <v>24</v>
      </c>
      <c r="C3" s="15"/>
    </row>
    <row r="4" spans="1:6">
      <c r="A4" s="12"/>
      <c r="B4" s="16" t="s">
        <v>25</v>
      </c>
      <c r="C4" s="15">
        <f>D40</f>
        <v>18</v>
      </c>
    </row>
    <row r="5" spans="1:6" ht="25">
      <c r="A5" s="12"/>
      <c r="B5" s="16" t="s">
        <v>26</v>
      </c>
      <c r="C5" s="15">
        <f>D36</f>
        <v>16</v>
      </c>
    </row>
    <row r="6" spans="1:6" ht="25">
      <c r="A6" s="12"/>
      <c r="B6" s="16" t="s">
        <v>27</v>
      </c>
      <c r="C6" s="15">
        <v>0</v>
      </c>
    </row>
    <row r="7" spans="1:6">
      <c r="A7" s="12"/>
      <c r="B7" s="16" t="s">
        <v>28</v>
      </c>
      <c r="C7" s="15">
        <v>0</v>
      </c>
    </row>
    <row r="8" spans="1:6">
      <c r="A8" s="12"/>
      <c r="B8" s="16" t="s">
        <v>29</v>
      </c>
      <c r="C8" s="15">
        <f>D45</f>
        <v>3</v>
      </c>
    </row>
    <row r="9" spans="1:6">
      <c r="A9" s="12"/>
      <c r="B9" s="16" t="s">
        <v>30</v>
      </c>
      <c r="C9" s="15">
        <f>D54</f>
        <v>7</v>
      </c>
    </row>
    <row r="10" spans="1:6" ht="25">
      <c r="A10" s="12"/>
      <c r="B10" s="16" t="s">
        <v>14</v>
      </c>
      <c r="C10" s="15">
        <v>0</v>
      </c>
    </row>
    <row r="11" spans="1:6">
      <c r="A11" s="12"/>
      <c r="B11" s="16" t="s">
        <v>15</v>
      </c>
      <c r="C11" s="15">
        <v>0</v>
      </c>
    </row>
    <row r="12" spans="1:6" ht="25">
      <c r="A12" s="12"/>
      <c r="B12" s="16" t="s">
        <v>31</v>
      </c>
      <c r="C12" s="15">
        <f>D95</f>
        <v>39</v>
      </c>
    </row>
    <row r="13" spans="1:6" ht="25">
      <c r="A13" s="12"/>
      <c r="B13" s="16" t="s">
        <v>32</v>
      </c>
      <c r="C13" s="15">
        <f>D98</f>
        <v>1</v>
      </c>
    </row>
    <row r="14" spans="1:6" ht="25">
      <c r="A14" s="12"/>
      <c r="B14" s="16" t="s">
        <v>33</v>
      </c>
      <c r="C14" s="15">
        <v>0</v>
      </c>
    </row>
    <row r="15" spans="1:6">
      <c r="A15" s="12"/>
      <c r="B15" s="16" t="s">
        <v>4</v>
      </c>
      <c r="C15" s="17">
        <f>C4+C6+C7+C8+C9+C10+C11</f>
        <v>28</v>
      </c>
    </row>
    <row r="16" spans="1:6" ht="25">
      <c r="A16" s="12"/>
      <c r="B16" s="16" t="s">
        <v>34</v>
      </c>
      <c r="C16" s="15">
        <f>F105</f>
        <v>3</v>
      </c>
    </row>
    <row r="19" spans="1:10">
      <c r="A19" s="42" t="s">
        <v>35</v>
      </c>
      <c r="B19" s="47" t="s">
        <v>36</v>
      </c>
      <c r="C19" s="42" t="s">
        <v>37</v>
      </c>
      <c r="D19" s="42" t="s">
        <v>38</v>
      </c>
      <c r="E19" s="42" t="s">
        <v>39</v>
      </c>
      <c r="F19" s="42" t="s">
        <v>40</v>
      </c>
      <c r="G19" s="42" t="s">
        <v>41</v>
      </c>
      <c r="H19" s="42" t="s">
        <v>42</v>
      </c>
      <c r="I19" s="42" t="s">
        <v>1466</v>
      </c>
      <c r="J19" s="42" t="s">
        <v>44</v>
      </c>
    </row>
    <row r="20" spans="1:10" ht="36">
      <c r="A20" s="43">
        <v>7</v>
      </c>
      <c r="B20" s="51" t="s">
        <v>1597</v>
      </c>
      <c r="C20" s="51" t="s">
        <v>1598</v>
      </c>
      <c r="D20" t="s">
        <v>1469</v>
      </c>
      <c r="E20" t="s">
        <v>1470</v>
      </c>
      <c r="F20" t="s">
        <v>1009</v>
      </c>
    </row>
    <row r="21" spans="1:10" ht="36">
      <c r="A21" s="43">
        <v>10</v>
      </c>
      <c r="B21" s="51" t="s">
        <v>1599</v>
      </c>
      <c r="C21" s="51" t="s">
        <v>1600</v>
      </c>
      <c r="D21" t="s">
        <v>1469</v>
      </c>
      <c r="E21" t="s">
        <v>1470</v>
      </c>
      <c r="F21" t="s">
        <v>1009</v>
      </c>
    </row>
    <row r="22" spans="1:10" ht="36">
      <c r="A22" s="43">
        <v>16</v>
      </c>
      <c r="B22" s="51" t="s">
        <v>1601</v>
      </c>
      <c r="C22" s="51" t="s">
        <v>1602</v>
      </c>
      <c r="D22" t="s">
        <v>1469</v>
      </c>
      <c r="E22" t="s">
        <v>1470</v>
      </c>
      <c r="F22" t="s">
        <v>1009</v>
      </c>
    </row>
    <row r="23" spans="1:10" ht="48">
      <c r="A23" s="43">
        <v>19</v>
      </c>
      <c r="B23" s="51" t="s">
        <v>1603</v>
      </c>
      <c r="C23" s="51" t="s">
        <v>1604</v>
      </c>
      <c r="D23" t="s">
        <v>1469</v>
      </c>
      <c r="E23" t="s">
        <v>1470</v>
      </c>
      <c r="F23" t="s">
        <v>1009</v>
      </c>
    </row>
    <row r="24" spans="1:10" ht="36">
      <c r="A24" s="43">
        <v>22</v>
      </c>
      <c r="B24" s="51" t="s">
        <v>1605</v>
      </c>
      <c r="C24" s="51" t="s">
        <v>1606</v>
      </c>
      <c r="D24" t="s">
        <v>1469</v>
      </c>
      <c r="E24" t="s">
        <v>1470</v>
      </c>
      <c r="F24" t="s">
        <v>1009</v>
      </c>
    </row>
    <row r="25" spans="1:10" ht="36">
      <c r="A25" s="43">
        <v>23</v>
      </c>
      <c r="B25" s="51" t="s">
        <v>1607</v>
      </c>
      <c r="C25" s="51" t="s">
        <v>1608</v>
      </c>
      <c r="D25" t="s">
        <v>1469</v>
      </c>
      <c r="E25" t="s">
        <v>1470</v>
      </c>
      <c r="F25" t="s">
        <v>1009</v>
      </c>
    </row>
    <row r="26" spans="1:10" ht="48">
      <c r="A26" s="43">
        <v>25</v>
      </c>
      <c r="B26" s="51" t="s">
        <v>1609</v>
      </c>
      <c r="C26" s="51" t="s">
        <v>1610</v>
      </c>
      <c r="D26" t="s">
        <v>1469</v>
      </c>
      <c r="E26" t="s">
        <v>1470</v>
      </c>
      <c r="F26" t="s">
        <v>1009</v>
      </c>
    </row>
    <row r="27" spans="1:10" ht="48">
      <c r="A27" s="43">
        <v>45</v>
      </c>
      <c r="B27" s="51" t="s">
        <v>1611</v>
      </c>
      <c r="C27" s="51" t="s">
        <v>1612</v>
      </c>
      <c r="D27" t="s">
        <v>1469</v>
      </c>
      <c r="E27" t="s">
        <v>1470</v>
      </c>
      <c r="F27" t="s">
        <v>1009</v>
      </c>
    </row>
    <row r="28" spans="1:10" ht="36">
      <c r="A28" s="43">
        <v>47</v>
      </c>
      <c r="B28" s="51" t="s">
        <v>1613</v>
      </c>
      <c r="C28" s="51" t="s">
        <v>1614</v>
      </c>
      <c r="D28" t="s">
        <v>1469</v>
      </c>
      <c r="E28" t="s">
        <v>1470</v>
      </c>
      <c r="F28" t="s">
        <v>1009</v>
      </c>
    </row>
    <row r="29" spans="1:10" ht="48">
      <c r="A29" s="43">
        <v>48</v>
      </c>
      <c r="B29" s="51" t="s">
        <v>1615</v>
      </c>
      <c r="C29" s="51" t="s">
        <v>1616</v>
      </c>
      <c r="D29" t="s">
        <v>1469</v>
      </c>
      <c r="E29" t="s">
        <v>1470</v>
      </c>
      <c r="F29" t="s">
        <v>1009</v>
      </c>
    </row>
    <row r="30" spans="1:10" ht="48">
      <c r="A30" s="43">
        <v>65</v>
      </c>
      <c r="B30" s="51" t="s">
        <v>1617</v>
      </c>
      <c r="C30" s="51" t="s">
        <v>1618</v>
      </c>
      <c r="D30" t="s">
        <v>1469</v>
      </c>
      <c r="E30" t="s">
        <v>1470</v>
      </c>
      <c r="F30" t="s">
        <v>1009</v>
      </c>
    </row>
    <row r="31" spans="1:10" ht="60">
      <c r="A31" s="43">
        <v>66</v>
      </c>
      <c r="B31" s="51" t="s">
        <v>1619</v>
      </c>
      <c r="C31" s="51" t="s">
        <v>1620</v>
      </c>
      <c r="D31" t="s">
        <v>1469</v>
      </c>
      <c r="E31" t="s">
        <v>1470</v>
      </c>
      <c r="F31" t="s">
        <v>1009</v>
      </c>
    </row>
    <row r="32" spans="1:10" ht="60">
      <c r="A32" s="43">
        <v>73</v>
      </c>
      <c r="B32" s="51" t="s">
        <v>1621</v>
      </c>
      <c r="C32" s="51" t="s">
        <v>1622</v>
      </c>
      <c r="D32" t="s">
        <v>1469</v>
      </c>
      <c r="E32" t="s">
        <v>1470</v>
      </c>
      <c r="F32" t="s">
        <v>1009</v>
      </c>
    </row>
    <row r="33" spans="1:10" ht="60">
      <c r="A33" s="43">
        <v>74</v>
      </c>
      <c r="B33" s="51" t="s">
        <v>1623</v>
      </c>
      <c r="C33" s="51" t="s">
        <v>1624</v>
      </c>
      <c r="D33" t="s">
        <v>1469</v>
      </c>
      <c r="E33" t="s">
        <v>1470</v>
      </c>
      <c r="F33" t="s">
        <v>1009</v>
      </c>
    </row>
    <row r="34" spans="1:10" ht="36">
      <c r="A34" s="43">
        <v>79</v>
      </c>
      <c r="B34" s="51" t="s">
        <v>1625</v>
      </c>
      <c r="C34" s="51" t="s">
        <v>1626</v>
      </c>
      <c r="D34" t="s">
        <v>1469</v>
      </c>
      <c r="E34" t="s">
        <v>1470</v>
      </c>
      <c r="F34" t="s">
        <v>1009</v>
      </c>
    </row>
    <row r="35" spans="1:10" ht="48">
      <c r="A35" s="43">
        <v>81</v>
      </c>
      <c r="B35" s="51" t="s">
        <v>1627</v>
      </c>
      <c r="C35" s="51" t="s">
        <v>1628</v>
      </c>
      <c r="D35" t="s">
        <v>1469</v>
      </c>
      <c r="E35" t="s">
        <v>1470</v>
      </c>
      <c r="F35" t="s">
        <v>1009</v>
      </c>
    </row>
    <row r="36" spans="1:10">
      <c r="A36" s="43"/>
      <c r="B36" s="51"/>
      <c r="C36" s="52" t="s">
        <v>81</v>
      </c>
      <c r="D36" s="42">
        <f>COUNTA(D20:D35)</f>
        <v>16</v>
      </c>
    </row>
    <row r="37" spans="1:10">
      <c r="A37" s="43"/>
      <c r="B37" s="51"/>
      <c r="C37" s="51"/>
    </row>
    <row r="38" spans="1:10" ht="48">
      <c r="A38" s="48">
        <v>61</v>
      </c>
      <c r="B38" s="53" t="s">
        <v>1629</v>
      </c>
      <c r="C38" s="53" t="s">
        <v>1630</v>
      </c>
      <c r="D38" s="50" t="s">
        <v>1469</v>
      </c>
      <c r="E38" s="50"/>
      <c r="F38" s="50" t="s">
        <v>1010</v>
      </c>
      <c r="G38" s="50" t="s">
        <v>1514</v>
      </c>
      <c r="H38" s="50" t="s">
        <v>1527</v>
      </c>
      <c r="I38" s="50" t="s">
        <v>1009</v>
      </c>
      <c r="J38" s="50"/>
    </row>
    <row r="39" spans="1:10" ht="84">
      <c r="A39" s="48">
        <v>67</v>
      </c>
      <c r="B39" s="53" t="s">
        <v>1522</v>
      </c>
      <c r="C39" s="53" t="s">
        <v>1631</v>
      </c>
      <c r="D39" s="50" t="s">
        <v>1469</v>
      </c>
      <c r="E39" s="50"/>
      <c r="F39" s="50" t="s">
        <v>1010</v>
      </c>
      <c r="G39" s="50" t="s">
        <v>1514</v>
      </c>
      <c r="H39" s="50" t="s">
        <v>1469</v>
      </c>
      <c r="I39" s="50" t="s">
        <v>1010</v>
      </c>
      <c r="J39" s="50"/>
    </row>
    <row r="40" spans="1:10">
      <c r="A40" s="48"/>
      <c r="B40" s="53"/>
      <c r="C40" s="52" t="s">
        <v>88</v>
      </c>
      <c r="D40" s="42">
        <f>COUNTA(D38:D39)+D36</f>
        <v>18</v>
      </c>
      <c r="E40" s="50"/>
      <c r="F40" s="50"/>
      <c r="G40" s="50"/>
      <c r="H40" s="50"/>
      <c r="I40" s="50"/>
      <c r="J40" s="50"/>
    </row>
    <row r="41" spans="1:10">
      <c r="A41" s="48"/>
      <c r="B41" s="53"/>
      <c r="C41" s="53"/>
      <c r="D41" s="50"/>
      <c r="E41" s="50"/>
      <c r="F41" s="50"/>
      <c r="G41" s="50"/>
      <c r="H41" s="50"/>
      <c r="I41" s="50"/>
      <c r="J41" s="50"/>
    </row>
    <row r="42" spans="1:10" ht="36">
      <c r="A42" s="43">
        <v>17</v>
      </c>
      <c r="B42" s="51" t="s">
        <v>1632</v>
      </c>
      <c r="C42" s="51" t="s">
        <v>1633</v>
      </c>
      <c r="D42" t="s">
        <v>1514</v>
      </c>
      <c r="F42" t="s">
        <v>1009</v>
      </c>
    </row>
    <row r="43" spans="1:10" ht="36">
      <c r="A43" s="43">
        <v>63</v>
      </c>
      <c r="B43" s="51" t="s">
        <v>880</v>
      </c>
      <c r="C43" s="51" t="s">
        <v>1634</v>
      </c>
      <c r="D43" s="50" t="s">
        <v>1514</v>
      </c>
      <c r="F43" s="50" t="s">
        <v>1009</v>
      </c>
    </row>
    <row r="44" spans="1:10" ht="48">
      <c r="A44" s="48">
        <v>54</v>
      </c>
      <c r="B44" s="53" t="s">
        <v>1635</v>
      </c>
      <c r="C44" s="53" t="s">
        <v>1636</v>
      </c>
      <c r="D44" s="50" t="s">
        <v>1514</v>
      </c>
      <c r="E44" s="50"/>
      <c r="F44" s="50" t="s">
        <v>1010</v>
      </c>
      <c r="G44" s="50" t="s">
        <v>1524</v>
      </c>
      <c r="H44" s="50" t="s">
        <v>1514</v>
      </c>
      <c r="I44" s="50" t="s">
        <v>1010</v>
      </c>
      <c r="J44" s="50"/>
    </row>
    <row r="45" spans="1:10">
      <c r="A45" s="48"/>
      <c r="B45" s="53"/>
      <c r="C45" s="52" t="s">
        <v>95</v>
      </c>
      <c r="D45" s="42">
        <f>COUNTA(D42:D44)</f>
        <v>3</v>
      </c>
      <c r="E45" s="50"/>
      <c r="F45" s="50"/>
      <c r="G45" s="50"/>
      <c r="H45" s="50"/>
      <c r="I45" s="50"/>
      <c r="J45" s="50"/>
    </row>
    <row r="46" spans="1:10">
      <c r="A46" s="48"/>
      <c r="B46" s="53"/>
      <c r="C46" s="53"/>
      <c r="D46" s="50"/>
      <c r="E46" s="50"/>
      <c r="F46" s="50"/>
      <c r="G46" s="50"/>
      <c r="H46" s="50"/>
      <c r="I46" s="50"/>
      <c r="J46" s="50"/>
    </row>
    <row r="47" spans="1:10" ht="36">
      <c r="A47" s="43">
        <v>49</v>
      </c>
      <c r="B47" s="51" t="s">
        <v>1637</v>
      </c>
      <c r="C47" s="51" t="s">
        <v>1638</v>
      </c>
      <c r="D47" t="s">
        <v>1517</v>
      </c>
      <c r="F47" t="s">
        <v>1009</v>
      </c>
    </row>
    <row r="48" spans="1:10" ht="60">
      <c r="A48" s="43">
        <v>1</v>
      </c>
      <c r="B48" s="51" t="s">
        <v>1639</v>
      </c>
      <c r="C48" s="51" t="s">
        <v>1640</v>
      </c>
      <c r="D48" t="s">
        <v>1517</v>
      </c>
      <c r="F48" t="s">
        <v>1010</v>
      </c>
      <c r="G48" t="s">
        <v>1524</v>
      </c>
      <c r="H48" t="s">
        <v>1527</v>
      </c>
      <c r="I48" t="s">
        <v>1009</v>
      </c>
    </row>
    <row r="49" spans="1:10" ht="36">
      <c r="A49" s="43">
        <v>83</v>
      </c>
      <c r="B49" s="51" t="s">
        <v>1639</v>
      </c>
      <c r="C49" s="51" t="s">
        <v>1641</v>
      </c>
      <c r="D49" t="s">
        <v>1517</v>
      </c>
      <c r="F49" t="s">
        <v>1010</v>
      </c>
      <c r="G49" t="s">
        <v>1524</v>
      </c>
      <c r="H49" t="s">
        <v>1517</v>
      </c>
      <c r="I49" t="s">
        <v>1010</v>
      </c>
    </row>
    <row r="50" spans="1:10" ht="48">
      <c r="A50" s="43">
        <v>35</v>
      </c>
      <c r="B50" s="51" t="s">
        <v>1642</v>
      </c>
      <c r="C50" s="51" t="s">
        <v>1643</v>
      </c>
      <c r="D50" t="s">
        <v>1527</v>
      </c>
      <c r="F50" t="s">
        <v>1009</v>
      </c>
    </row>
    <row r="51" spans="1:10" ht="36">
      <c r="A51" s="43">
        <v>70</v>
      </c>
      <c r="B51" s="51" t="s">
        <v>1644</v>
      </c>
      <c r="C51" s="51" t="s">
        <v>1645</v>
      </c>
      <c r="D51" t="s">
        <v>1527</v>
      </c>
      <c r="F51" t="s">
        <v>1009</v>
      </c>
    </row>
    <row r="52" spans="1:10" ht="48">
      <c r="A52" s="43">
        <v>78</v>
      </c>
      <c r="B52" s="51" t="s">
        <v>1646</v>
      </c>
      <c r="C52" s="51" t="s">
        <v>1647</v>
      </c>
      <c r="D52" t="s">
        <v>1527</v>
      </c>
      <c r="F52" t="s">
        <v>1009</v>
      </c>
    </row>
    <row r="53" spans="1:10" ht="48">
      <c r="A53" s="48">
        <v>59</v>
      </c>
      <c r="B53" s="53" t="s">
        <v>1648</v>
      </c>
      <c r="C53" s="53" t="s">
        <v>1649</v>
      </c>
      <c r="D53" s="50" t="s">
        <v>1527</v>
      </c>
      <c r="E53" s="50"/>
      <c r="F53" s="50" t="s">
        <v>1010</v>
      </c>
      <c r="G53" s="50" t="s">
        <v>1524</v>
      </c>
      <c r="H53" s="50" t="s">
        <v>1527</v>
      </c>
      <c r="I53" s="50" t="s">
        <v>1010</v>
      </c>
      <c r="J53" s="50"/>
    </row>
    <row r="54" spans="1:10">
      <c r="A54" s="48"/>
      <c r="B54" s="53"/>
      <c r="C54" s="52" t="s">
        <v>95</v>
      </c>
      <c r="D54" s="42">
        <f>COUNTA(D47:D53)</f>
        <v>7</v>
      </c>
      <c r="E54" s="50"/>
      <c r="F54" s="50"/>
      <c r="G54" s="50"/>
      <c r="H54" s="50"/>
      <c r="I54" s="50"/>
      <c r="J54" s="50"/>
    </row>
    <row r="55" spans="1:10">
      <c r="A55" s="48"/>
      <c r="B55" s="53"/>
      <c r="C55" s="53"/>
      <c r="D55" s="50"/>
      <c r="E55" s="50"/>
      <c r="F55" s="50"/>
      <c r="G55" s="50"/>
      <c r="H55" s="50"/>
      <c r="I55" s="50"/>
      <c r="J55" s="50"/>
    </row>
    <row r="56" spans="1:10" ht="60">
      <c r="A56" s="43">
        <v>2</v>
      </c>
      <c r="B56" s="51" t="s">
        <v>1650</v>
      </c>
      <c r="C56" s="51" t="s">
        <v>1651</v>
      </c>
      <c r="D56" t="s">
        <v>1473</v>
      </c>
      <c r="E56" t="s">
        <v>1470</v>
      </c>
      <c r="F56" t="s">
        <v>1009</v>
      </c>
    </row>
    <row r="57" spans="1:10" ht="60">
      <c r="A57" s="43">
        <v>3</v>
      </c>
      <c r="B57" s="51" t="s">
        <v>1652</v>
      </c>
      <c r="C57" s="51" t="s">
        <v>1653</v>
      </c>
      <c r="D57" t="s">
        <v>1473</v>
      </c>
      <c r="E57" t="s">
        <v>1470</v>
      </c>
      <c r="F57" t="s">
        <v>1009</v>
      </c>
    </row>
    <row r="58" spans="1:10" ht="48">
      <c r="A58" s="43">
        <v>5</v>
      </c>
      <c r="B58" s="51" t="s">
        <v>1654</v>
      </c>
      <c r="C58" s="51" t="s">
        <v>1655</v>
      </c>
      <c r="D58" t="s">
        <v>1473</v>
      </c>
      <c r="E58" t="s">
        <v>1470</v>
      </c>
      <c r="F58" t="s">
        <v>1009</v>
      </c>
    </row>
    <row r="59" spans="1:10" ht="60">
      <c r="A59" s="43">
        <v>6</v>
      </c>
      <c r="B59" s="51" t="s">
        <v>1656</v>
      </c>
      <c r="C59" s="51" t="s">
        <v>1657</v>
      </c>
      <c r="D59" t="s">
        <v>1473</v>
      </c>
      <c r="E59" t="s">
        <v>1470</v>
      </c>
      <c r="F59" t="s">
        <v>1009</v>
      </c>
    </row>
    <row r="60" spans="1:10" ht="60">
      <c r="A60" s="43">
        <v>9</v>
      </c>
      <c r="B60" s="51" t="s">
        <v>1658</v>
      </c>
      <c r="C60" s="51" t="s">
        <v>1659</v>
      </c>
      <c r="D60" t="s">
        <v>1473</v>
      </c>
      <c r="E60" t="s">
        <v>1470</v>
      </c>
      <c r="F60" t="s">
        <v>1009</v>
      </c>
    </row>
    <row r="61" spans="1:10" ht="36">
      <c r="A61" s="43">
        <v>11</v>
      </c>
      <c r="B61" s="51" t="s">
        <v>1660</v>
      </c>
      <c r="C61" s="51" t="s">
        <v>1661</v>
      </c>
      <c r="D61" t="s">
        <v>1473</v>
      </c>
      <c r="E61" t="s">
        <v>1470</v>
      </c>
      <c r="F61" t="s">
        <v>1009</v>
      </c>
    </row>
    <row r="62" spans="1:10" ht="48">
      <c r="A62" s="43">
        <v>12</v>
      </c>
      <c r="B62" s="51" t="s">
        <v>1662</v>
      </c>
      <c r="C62" s="51" t="s">
        <v>1663</v>
      </c>
      <c r="D62" t="s">
        <v>1473</v>
      </c>
      <c r="E62" t="s">
        <v>1470</v>
      </c>
      <c r="F62" t="s">
        <v>1009</v>
      </c>
    </row>
    <row r="63" spans="1:10" ht="60">
      <c r="A63" s="43">
        <v>13</v>
      </c>
      <c r="B63" s="51" t="s">
        <v>1664</v>
      </c>
      <c r="C63" s="51" t="s">
        <v>1665</v>
      </c>
      <c r="D63" t="s">
        <v>1473</v>
      </c>
      <c r="F63" t="s">
        <v>1009</v>
      </c>
    </row>
    <row r="64" spans="1:10" ht="36">
      <c r="A64" s="43">
        <v>14</v>
      </c>
      <c r="B64" s="51" t="s">
        <v>1666</v>
      </c>
      <c r="C64" s="51" t="s">
        <v>1667</v>
      </c>
      <c r="D64" t="s">
        <v>1473</v>
      </c>
      <c r="E64" t="s">
        <v>1470</v>
      </c>
      <c r="F64" t="s">
        <v>1009</v>
      </c>
    </row>
    <row r="65" spans="1:10" ht="60">
      <c r="A65" s="43">
        <v>24</v>
      </c>
      <c r="B65" s="51" t="s">
        <v>1668</v>
      </c>
      <c r="C65" s="51" t="s">
        <v>1669</v>
      </c>
      <c r="D65" t="s">
        <v>1473</v>
      </c>
      <c r="E65" t="s">
        <v>1470</v>
      </c>
      <c r="F65" t="s">
        <v>1009</v>
      </c>
    </row>
    <row r="66" spans="1:10" ht="60">
      <c r="A66" s="43">
        <v>26</v>
      </c>
      <c r="B66" s="51" t="s">
        <v>1670</v>
      </c>
      <c r="C66" s="51" t="s">
        <v>1671</v>
      </c>
      <c r="D66" t="s">
        <v>1473</v>
      </c>
      <c r="E66" t="s">
        <v>1470</v>
      </c>
      <c r="F66" t="s">
        <v>1009</v>
      </c>
    </row>
    <row r="67" spans="1:10" ht="60">
      <c r="A67" s="43">
        <v>27</v>
      </c>
      <c r="B67" s="51" t="s">
        <v>1672</v>
      </c>
      <c r="C67" s="51" t="s">
        <v>1673</v>
      </c>
      <c r="D67" t="s">
        <v>1473</v>
      </c>
      <c r="E67" t="s">
        <v>1470</v>
      </c>
      <c r="F67" t="s">
        <v>1009</v>
      </c>
    </row>
    <row r="68" spans="1:10" ht="48">
      <c r="A68" s="43">
        <v>28</v>
      </c>
      <c r="B68" s="51" t="s">
        <v>1674</v>
      </c>
      <c r="C68" s="51" t="s">
        <v>1675</v>
      </c>
      <c r="D68" t="s">
        <v>1473</v>
      </c>
      <c r="E68" t="s">
        <v>1470</v>
      </c>
      <c r="F68" t="s">
        <v>1009</v>
      </c>
    </row>
    <row r="69" spans="1:10" ht="36">
      <c r="A69" s="43">
        <v>29</v>
      </c>
      <c r="B69" s="51" t="s">
        <v>1676</v>
      </c>
      <c r="C69" s="51" t="s">
        <v>1677</v>
      </c>
      <c r="D69" t="s">
        <v>1473</v>
      </c>
      <c r="E69" t="s">
        <v>1470</v>
      </c>
      <c r="F69" t="s">
        <v>1009</v>
      </c>
    </row>
    <row r="70" spans="1:10" ht="36">
      <c r="A70" s="43">
        <v>30</v>
      </c>
      <c r="B70" s="51" t="s">
        <v>1678</v>
      </c>
      <c r="C70" s="51" t="s">
        <v>1679</v>
      </c>
      <c r="D70" t="s">
        <v>1473</v>
      </c>
      <c r="F70" t="s">
        <v>1009</v>
      </c>
    </row>
    <row r="71" spans="1:10" ht="48">
      <c r="A71" s="43">
        <v>31</v>
      </c>
      <c r="B71" s="51" t="s">
        <v>1680</v>
      </c>
      <c r="C71" s="51" t="s">
        <v>1681</v>
      </c>
      <c r="D71" t="s">
        <v>1473</v>
      </c>
      <c r="F71" t="s">
        <v>1009</v>
      </c>
    </row>
    <row r="72" spans="1:10" ht="48">
      <c r="A72" s="43">
        <v>34</v>
      </c>
      <c r="B72" s="51" t="s">
        <v>1682</v>
      </c>
      <c r="C72" s="51" t="s">
        <v>1683</v>
      </c>
      <c r="D72" t="s">
        <v>1473</v>
      </c>
      <c r="E72" t="s">
        <v>1470</v>
      </c>
      <c r="F72" t="s">
        <v>1009</v>
      </c>
    </row>
    <row r="73" spans="1:10" ht="60">
      <c r="A73" s="43">
        <v>36</v>
      </c>
      <c r="B73" s="51" t="s">
        <v>1684</v>
      </c>
      <c r="C73" s="51" t="s">
        <v>1685</v>
      </c>
      <c r="D73" t="s">
        <v>1473</v>
      </c>
      <c r="E73" t="s">
        <v>1470</v>
      </c>
      <c r="F73" t="s">
        <v>1009</v>
      </c>
    </row>
    <row r="74" spans="1:10" ht="84">
      <c r="A74" s="48">
        <v>40</v>
      </c>
      <c r="B74" s="53" t="s">
        <v>1686</v>
      </c>
      <c r="C74" s="53" t="s">
        <v>1687</v>
      </c>
      <c r="D74" s="50" t="s">
        <v>1473</v>
      </c>
      <c r="E74" s="50"/>
      <c r="F74" s="50" t="s">
        <v>1009</v>
      </c>
      <c r="G74" s="50"/>
      <c r="H74" s="50"/>
      <c r="I74" s="50"/>
      <c r="J74" s="50"/>
    </row>
    <row r="75" spans="1:10" ht="36">
      <c r="A75" s="43">
        <v>44</v>
      </c>
      <c r="B75" s="51" t="s">
        <v>1688</v>
      </c>
      <c r="C75" s="51" t="s">
        <v>1689</v>
      </c>
      <c r="D75" t="s">
        <v>1473</v>
      </c>
      <c r="E75" t="s">
        <v>1470</v>
      </c>
      <c r="F75" t="s">
        <v>1009</v>
      </c>
    </row>
    <row r="76" spans="1:10" ht="60">
      <c r="A76" s="43">
        <v>46</v>
      </c>
      <c r="B76" s="51" t="s">
        <v>1690</v>
      </c>
      <c r="C76" s="51" t="s">
        <v>1691</v>
      </c>
      <c r="D76" t="s">
        <v>1473</v>
      </c>
      <c r="E76" t="s">
        <v>1470</v>
      </c>
      <c r="F76" t="s">
        <v>1009</v>
      </c>
    </row>
    <row r="77" spans="1:10" ht="48">
      <c r="A77" s="43">
        <v>50</v>
      </c>
      <c r="B77" s="51" t="s">
        <v>1692</v>
      </c>
      <c r="C77" s="51" t="s">
        <v>1693</v>
      </c>
      <c r="D77" t="s">
        <v>1473</v>
      </c>
      <c r="E77" t="s">
        <v>1470</v>
      </c>
      <c r="F77" t="s">
        <v>1009</v>
      </c>
    </row>
    <row r="78" spans="1:10" ht="36">
      <c r="A78" s="43">
        <v>51</v>
      </c>
      <c r="B78" s="51" t="s">
        <v>1694</v>
      </c>
      <c r="C78" s="51" t="s">
        <v>1695</v>
      </c>
      <c r="D78" t="s">
        <v>1473</v>
      </c>
      <c r="E78" t="s">
        <v>1470</v>
      </c>
      <c r="F78" t="s">
        <v>1009</v>
      </c>
    </row>
    <row r="79" spans="1:10" ht="60">
      <c r="A79" s="43">
        <v>53</v>
      </c>
      <c r="B79" s="51" t="s">
        <v>1696</v>
      </c>
      <c r="C79" s="51" t="s">
        <v>1697</v>
      </c>
      <c r="D79" t="s">
        <v>1473</v>
      </c>
      <c r="E79" t="s">
        <v>1470</v>
      </c>
      <c r="F79" t="s">
        <v>1009</v>
      </c>
    </row>
    <row r="80" spans="1:10" ht="48">
      <c r="A80" s="43">
        <v>55</v>
      </c>
      <c r="B80" s="51" t="s">
        <v>1698</v>
      </c>
      <c r="C80" s="51" t="s">
        <v>1699</v>
      </c>
      <c r="D80" t="s">
        <v>1473</v>
      </c>
      <c r="E80" t="s">
        <v>1470</v>
      </c>
      <c r="F80" t="s">
        <v>1009</v>
      </c>
    </row>
    <row r="81" spans="1:10" ht="48">
      <c r="A81" s="43">
        <v>56</v>
      </c>
      <c r="B81" s="51" t="s">
        <v>1700</v>
      </c>
      <c r="C81" s="51" t="s">
        <v>1701</v>
      </c>
      <c r="D81" t="s">
        <v>1473</v>
      </c>
      <c r="F81" t="s">
        <v>1009</v>
      </c>
    </row>
    <row r="82" spans="1:10" ht="36">
      <c r="A82" s="54">
        <v>57</v>
      </c>
      <c r="B82" s="55" t="s">
        <v>1525</v>
      </c>
      <c r="C82" s="55" t="s">
        <v>1702</v>
      </c>
      <c r="D82" s="56" t="s">
        <v>1473</v>
      </c>
      <c r="E82" s="56"/>
      <c r="F82" s="56" t="s">
        <v>1009</v>
      </c>
      <c r="G82" s="56"/>
      <c r="H82" s="56"/>
      <c r="I82" s="56"/>
      <c r="J82" s="56"/>
    </row>
    <row r="83" spans="1:10" ht="36">
      <c r="A83" s="43">
        <v>60</v>
      </c>
      <c r="B83" s="51" t="s">
        <v>1703</v>
      </c>
      <c r="C83" s="51" t="s">
        <v>1704</v>
      </c>
      <c r="D83" t="s">
        <v>1473</v>
      </c>
      <c r="E83" t="s">
        <v>1470</v>
      </c>
      <c r="F83" t="s">
        <v>1009</v>
      </c>
    </row>
    <row r="84" spans="1:10" ht="60">
      <c r="A84" s="43">
        <v>64</v>
      </c>
      <c r="B84" s="51" t="s">
        <v>1705</v>
      </c>
      <c r="C84" s="51" t="s">
        <v>1706</v>
      </c>
      <c r="D84" t="s">
        <v>1473</v>
      </c>
      <c r="E84" t="s">
        <v>1470</v>
      </c>
      <c r="F84" t="s">
        <v>1009</v>
      </c>
    </row>
    <row r="85" spans="1:10" ht="48">
      <c r="A85" s="43">
        <v>68</v>
      </c>
      <c r="B85" s="51" t="s">
        <v>1707</v>
      </c>
      <c r="C85" s="51" t="s">
        <v>1708</v>
      </c>
      <c r="D85" t="s">
        <v>1473</v>
      </c>
      <c r="E85" t="s">
        <v>1470</v>
      </c>
      <c r="F85" t="s">
        <v>1009</v>
      </c>
    </row>
    <row r="86" spans="1:10" ht="36">
      <c r="A86" s="43">
        <v>69</v>
      </c>
      <c r="B86" s="51" t="s">
        <v>1709</v>
      </c>
      <c r="C86" s="51" t="s">
        <v>1710</v>
      </c>
      <c r="D86" t="s">
        <v>1473</v>
      </c>
      <c r="E86" t="s">
        <v>1470</v>
      </c>
      <c r="F86" t="s">
        <v>1009</v>
      </c>
    </row>
    <row r="87" spans="1:10" ht="72">
      <c r="A87" s="43">
        <v>71</v>
      </c>
      <c r="B87" s="51" t="s">
        <v>1711</v>
      </c>
      <c r="C87" s="51" t="s">
        <v>1712</v>
      </c>
      <c r="D87" t="s">
        <v>1473</v>
      </c>
      <c r="F87" t="s">
        <v>1009</v>
      </c>
    </row>
    <row r="88" spans="1:10" ht="60">
      <c r="A88" s="43">
        <v>72</v>
      </c>
      <c r="B88" s="51" t="s">
        <v>1713</v>
      </c>
      <c r="C88" s="51" t="s">
        <v>1714</v>
      </c>
      <c r="D88" t="s">
        <v>1473</v>
      </c>
      <c r="E88" t="s">
        <v>1470</v>
      </c>
      <c r="F88" t="s">
        <v>1009</v>
      </c>
    </row>
    <row r="89" spans="1:10" ht="36">
      <c r="A89" s="43">
        <v>76</v>
      </c>
      <c r="B89" s="51" t="s">
        <v>1715</v>
      </c>
      <c r="C89" s="51" t="s">
        <v>1716</v>
      </c>
      <c r="D89" t="s">
        <v>1473</v>
      </c>
      <c r="E89" t="s">
        <v>1470</v>
      </c>
      <c r="F89" t="s">
        <v>1009</v>
      </c>
    </row>
    <row r="90" spans="1:10" ht="60">
      <c r="A90" s="43">
        <v>77</v>
      </c>
      <c r="B90" s="51" t="s">
        <v>1717</v>
      </c>
      <c r="C90" s="51" t="s">
        <v>1718</v>
      </c>
      <c r="D90" t="s">
        <v>1473</v>
      </c>
      <c r="E90" t="s">
        <v>1470</v>
      </c>
      <c r="F90" t="s">
        <v>1009</v>
      </c>
    </row>
    <row r="91" spans="1:10" ht="96">
      <c r="A91" s="43">
        <v>80</v>
      </c>
      <c r="B91" s="51" t="s">
        <v>1719</v>
      </c>
      <c r="C91" s="51" t="s">
        <v>1720</v>
      </c>
      <c r="D91" t="s">
        <v>1473</v>
      </c>
      <c r="E91" t="s">
        <v>1470</v>
      </c>
      <c r="F91" t="s">
        <v>1009</v>
      </c>
    </row>
    <row r="92" spans="1:10" ht="72">
      <c r="A92" s="43">
        <v>82</v>
      </c>
      <c r="B92" s="51" t="s">
        <v>1698</v>
      </c>
      <c r="C92" s="51" t="s">
        <v>1721</v>
      </c>
      <c r="D92" t="s">
        <v>1473</v>
      </c>
      <c r="E92" t="s">
        <v>1470</v>
      </c>
      <c r="F92" t="s">
        <v>1009</v>
      </c>
    </row>
    <row r="93" spans="1:10" ht="36">
      <c r="A93" s="43">
        <v>84</v>
      </c>
      <c r="B93" s="51" t="s">
        <v>1722</v>
      </c>
      <c r="C93" s="51" t="s">
        <v>1723</v>
      </c>
      <c r="D93" t="s">
        <v>1473</v>
      </c>
      <c r="E93" t="s">
        <v>1470</v>
      </c>
      <c r="F93" t="s">
        <v>1009</v>
      </c>
    </row>
    <row r="94" spans="1:10" ht="36">
      <c r="A94" s="43">
        <v>85</v>
      </c>
      <c r="B94" s="51" t="s">
        <v>1724</v>
      </c>
      <c r="C94" s="51" t="s">
        <v>1725</v>
      </c>
      <c r="D94" t="s">
        <v>1473</v>
      </c>
      <c r="E94" t="s">
        <v>1470</v>
      </c>
      <c r="F94" t="s">
        <v>1009</v>
      </c>
    </row>
    <row r="95" spans="1:10">
      <c r="A95" s="43"/>
      <c r="B95" s="51"/>
      <c r="C95" s="52" t="s">
        <v>95</v>
      </c>
      <c r="D95" s="42">
        <f>COUNTA(D56:D94)</f>
        <v>39</v>
      </c>
    </row>
    <row r="96" spans="1:10">
      <c r="A96" s="43"/>
      <c r="B96" s="51"/>
      <c r="C96" s="51"/>
    </row>
    <row r="97" spans="1:10" ht="48">
      <c r="A97" s="43">
        <v>62</v>
      </c>
      <c r="B97" s="51" t="s">
        <v>1726</v>
      </c>
      <c r="C97" s="51" t="s">
        <v>1727</v>
      </c>
      <c r="D97" t="s">
        <v>1728</v>
      </c>
      <c r="F97" t="s">
        <v>1009</v>
      </c>
    </row>
    <row r="98" spans="1:10">
      <c r="A98" s="43"/>
      <c r="B98" s="51"/>
      <c r="C98" s="52" t="s">
        <v>95</v>
      </c>
      <c r="D98" s="42">
        <f>COUNTA(D97)</f>
        <v>1</v>
      </c>
    </row>
    <row r="99" spans="1:10">
      <c r="A99" s="43"/>
      <c r="B99" s="51"/>
      <c r="C99" s="51"/>
    </row>
    <row r="101" spans="1:10">
      <c r="A101" s="43"/>
      <c r="B101" s="57" t="s">
        <v>165</v>
      </c>
      <c r="C101" s="51"/>
    </row>
    <row r="102" spans="1:10" ht="60">
      <c r="A102" s="43">
        <v>1</v>
      </c>
      <c r="B102" s="51" t="s">
        <v>1639</v>
      </c>
      <c r="C102" s="51" t="s">
        <v>1640</v>
      </c>
      <c r="D102" t="s">
        <v>1517</v>
      </c>
      <c r="F102" t="s">
        <v>1010</v>
      </c>
      <c r="G102" t="s">
        <v>1524</v>
      </c>
      <c r="H102" t="s">
        <v>1527</v>
      </c>
      <c r="I102" t="s">
        <v>1009</v>
      </c>
    </row>
    <row r="103" spans="1:10" ht="48">
      <c r="A103" s="48">
        <v>61</v>
      </c>
      <c r="B103" s="53" t="s">
        <v>1629</v>
      </c>
      <c r="C103" s="53" t="s">
        <v>1630</v>
      </c>
      <c r="D103" s="50" t="s">
        <v>1469</v>
      </c>
      <c r="E103" s="50"/>
      <c r="F103" s="50" t="s">
        <v>1010</v>
      </c>
      <c r="G103" s="50" t="s">
        <v>1514</v>
      </c>
      <c r="H103" s="50" t="s">
        <v>1527</v>
      </c>
      <c r="I103" s="50" t="s">
        <v>1009</v>
      </c>
      <c r="J103" s="50"/>
    </row>
    <row r="104" spans="1:10" ht="48">
      <c r="A104" s="43">
        <v>41</v>
      </c>
      <c r="B104" s="51" t="s">
        <v>1729</v>
      </c>
      <c r="C104" s="51" t="s">
        <v>1730</v>
      </c>
      <c r="F104" t="s">
        <v>1010</v>
      </c>
      <c r="G104" t="s">
        <v>1514</v>
      </c>
      <c r="H104" t="s">
        <v>1517</v>
      </c>
      <c r="I104" t="s">
        <v>1009</v>
      </c>
    </row>
    <row r="105" spans="1:10">
      <c r="E105" s="42" t="s">
        <v>95</v>
      </c>
      <c r="F105" s="42">
        <f>COUNTA(F102:F104)</f>
        <v>3</v>
      </c>
    </row>
  </sheetData>
  <hyperlinks>
    <hyperlink ref="A102" r:id="rId1" display="http://www.westlaw.com/Find/Default.wl?rs=dfa1.0&amp;vr=2.0&amp;DB=780&amp;FindType=Y&amp;SerialNum=1992116314"/>
    <hyperlink ref="A56" r:id="rId2" display="http://www.westlaw.com/Find/Default.wl?rs=dfa1.0&amp;vr=2.0&amp;DB=350&amp;FindType=Y&amp;SerialNum=1992157472"/>
    <hyperlink ref="A57" r:id="rId3" display="http://www.westlaw.com/Find/Default.wl?rs=dfa1.0&amp;vr=2.0&amp;DB=350&amp;FindType=Y&amp;SerialNum=1992155690"/>
    <hyperlink ref="A58" r:id="rId4" display="http://www.westlaw.com/Find/Default.wl?rs=dfa1.0&amp;vr=2.0&amp;DB=350&amp;FindType=Y&amp;SerialNum=1992154370"/>
    <hyperlink ref="A59" r:id="rId5" display="http://www.westlaw.com/Find/Default.wl?rs=dfa1.0&amp;vr=2.0&amp;DB=350&amp;FindType=Y&amp;SerialNum=1992154377"/>
    <hyperlink ref="A20" r:id="rId6" display="http://www.westlaw.com/Find/Default.wl?rs=dfa1.0&amp;vr=2.0&amp;DB=350&amp;FindType=Y&amp;SerialNum=1992153427"/>
    <hyperlink ref="A60" r:id="rId7" display="http://www.westlaw.com/Find/Default.wl?rs=dfa1.0&amp;vr=2.0&amp;DB=350&amp;FindType=Y&amp;SerialNum=1992150665"/>
    <hyperlink ref="A21" r:id="rId8" display="http://www.westlaw.com/Find/Default.wl?rs=dfa1.0&amp;vr=2.0&amp;DB=350&amp;FindType=Y&amp;SerialNum=1992150661"/>
    <hyperlink ref="A61" r:id="rId9" display="http://www.westlaw.com/Find/Default.wl?rs=dfa1.0&amp;vr=2.0&amp;DB=350&amp;FindType=Y&amp;SerialNum=1992145219"/>
    <hyperlink ref="A62" r:id="rId10" display="http://www.westlaw.com/Find/Default.wl?rs=dfa1.0&amp;vr=2.0&amp;DB=350&amp;FindType=Y&amp;SerialNum=1992145313"/>
    <hyperlink ref="A63" r:id="rId11" display="http://www.westlaw.com/Find/Default.wl?rs=dfa1.0&amp;vr=2.0&amp;DB=350&amp;FindType=Y&amp;SerialNum=1992143977"/>
    <hyperlink ref="A64" r:id="rId12" display="http://www.westlaw.com/Find/Default.wl?rs=dfa1.0&amp;vr=2.0&amp;DB=350&amp;FindType=Y&amp;SerialNum=1992141251"/>
    <hyperlink ref="A22" r:id="rId13" display="http://www.westlaw.com/Find/Default.wl?rs=dfa1.0&amp;vr=2.0&amp;DB=350&amp;FindType=Y&amp;SerialNum=1992136392"/>
    <hyperlink ref="A42" r:id="rId14" display="http://www.westlaw.com/Find/Default.wl?rs=dfa1.0&amp;vr=2.0&amp;DB=350&amp;FindType=Y&amp;SerialNum=1992132765"/>
    <hyperlink ref="A23" r:id="rId15" display="http://www.westlaw.com/Find/Default.wl?rs=dfa1.0&amp;vr=2.0&amp;DB=350&amp;FindType=Y&amp;SerialNum=1992129462"/>
    <hyperlink ref="A24" r:id="rId16" display="http://www.westlaw.com/Find/Default.wl?rs=dfa1.0&amp;vr=2.0&amp;DB=350&amp;FindType=Y&amp;SerialNum=1992124201"/>
    <hyperlink ref="A25" r:id="rId17" display="http://www.westlaw.com/Find/Default.wl?rs=dfa1.0&amp;vr=2.0&amp;DB=350&amp;FindType=Y&amp;SerialNum=1992120830"/>
    <hyperlink ref="A65" r:id="rId18" display="http://www.westlaw.com/Find/Default.wl?rs=dfa1.0&amp;vr=2.0&amp;DB=350&amp;FindType=Y&amp;SerialNum=1992120001"/>
    <hyperlink ref="A26" r:id="rId19" display="http://www.westlaw.com/Find/Default.wl?rs=dfa1.0&amp;vr=2.0&amp;DB=350&amp;FindType=Y&amp;SerialNum=1992118536"/>
    <hyperlink ref="A66" r:id="rId20" display="http://www.westlaw.com/Find/Default.wl?rs=dfa1.0&amp;vr=2.0&amp;DB=350&amp;FindType=Y&amp;SerialNum=1992116857"/>
    <hyperlink ref="A67" r:id="rId21" display="http://www.westlaw.com/Find/Default.wl?rs=dfa1.0&amp;vr=2.0&amp;DB=350&amp;FindType=Y&amp;SerialNum=1992116793"/>
    <hyperlink ref="A68" r:id="rId22" display="http://www.westlaw.com/Find/Default.wl?rs=dfa1.0&amp;vr=2.0&amp;DB=350&amp;FindType=Y&amp;SerialNum=1992114076"/>
    <hyperlink ref="A69" r:id="rId23" display="http://www.westlaw.com/Find/Default.wl?rs=dfa1.0&amp;vr=2.0&amp;DB=350&amp;FindType=Y&amp;SerialNum=1992112418"/>
    <hyperlink ref="A70" r:id="rId24" display="http://www.westlaw.com/Find/Default.wl?rs=dfa1.0&amp;vr=2.0&amp;DB=350&amp;FindType=Y&amp;SerialNum=1992112302"/>
    <hyperlink ref="A71" r:id="rId25" display="http://www.westlaw.com/Find/Default.wl?rs=dfa1.0&amp;vr=2.0&amp;DB=350&amp;FindType=Y&amp;SerialNum=1992109700"/>
    <hyperlink ref="A72" r:id="rId26" display="http://www.westlaw.com/Find/Default.wl?rs=dfa1.0&amp;vr=2.0&amp;DB=350&amp;FindType=Y&amp;SerialNum=1992098289"/>
    <hyperlink ref="A50" r:id="rId27" display="http://www.westlaw.com/Find/Default.wl?rs=dfa1.0&amp;vr=2.0&amp;DB=350&amp;FindType=Y&amp;SerialNum=1992096038"/>
    <hyperlink ref="A73" r:id="rId28" display="http://www.westlaw.com/Find/Default.wl?rs=dfa1.0&amp;vr=2.0&amp;DB=350&amp;FindType=Y&amp;SerialNum=1992094009"/>
    <hyperlink ref="A74" r:id="rId29" display="http://www.westlaw.com/Find/Default.wl?rs=dfa1.0&amp;vr=2.0&amp;DB=350&amp;FindType=Y&amp;SerialNum=1992089617"/>
    <hyperlink ref="A104" r:id="rId30" display="http://www.westlaw.com/Find/Default.wl?rs=dfa1.0&amp;vr=2.0&amp;DB=350&amp;FindType=Y&amp;SerialNum=1992088618"/>
    <hyperlink ref="A75" r:id="rId31" display="http://www.westlaw.com/Find/Default.wl?rs=dfa1.0&amp;vr=2.0&amp;DB=350&amp;FindType=Y&amp;SerialNum=1992082436"/>
    <hyperlink ref="A27" r:id="rId32" display="http://www.westlaw.com/Find/Default.wl?rs=dfa1.0&amp;vr=2.0&amp;DB=350&amp;FindType=Y&amp;SerialNum=1992081919"/>
    <hyperlink ref="A76" r:id="rId33" display="http://www.westlaw.com/Find/Default.wl?rs=dfa1.0&amp;vr=2.0&amp;DB=350&amp;FindType=Y&amp;SerialNum=1992080874"/>
    <hyperlink ref="A28" r:id="rId34" display="http://www.westlaw.com/Find/Default.wl?rs=dfa1.0&amp;vr=2.0&amp;DB=350&amp;FindType=Y&amp;SerialNum=1992076935"/>
    <hyperlink ref="A29" r:id="rId35" display="http://www.westlaw.com/Find/Default.wl?rs=dfa1.0&amp;vr=2.0&amp;DB=350&amp;FindType=Y&amp;SerialNum=1992076937"/>
    <hyperlink ref="A47" r:id="rId36" display="http://www.westlaw.com/Find/Default.wl?rs=dfa1.0&amp;vr=2.0&amp;DB=350&amp;FindType=Y&amp;SerialNum=1992076944"/>
    <hyperlink ref="A77" r:id="rId37" display="http://www.westlaw.com/Find/Default.wl?rs=dfa1.0&amp;vr=2.0&amp;DB=350&amp;FindType=Y&amp;SerialNum=1992073942"/>
    <hyperlink ref="A78" r:id="rId38" display="http://www.westlaw.com/Find/Default.wl?rs=dfa1.0&amp;vr=2.0&amp;DB=350&amp;FindType=Y&amp;SerialNum=1992073944"/>
    <hyperlink ref="A79" r:id="rId39" display="http://www.westlaw.com/Find/Default.wl?rs=dfa1.0&amp;vr=2.0&amp;DB=350&amp;FindType=Y&amp;SerialNum=1992070554"/>
    <hyperlink ref="A80" r:id="rId40" display="http://www.westlaw.com/Find/Default.wl?rs=dfa1.0&amp;vr=2.0&amp;DB=350&amp;FindType=Y&amp;SerialNum=1992065439"/>
    <hyperlink ref="A81" r:id="rId41" display="http://www.westlaw.com/Find/Default.wl?rs=dfa1.0&amp;vr=2.0&amp;DB=350&amp;FindType=Y&amp;SerialNum=1992063434"/>
    <hyperlink ref="A82" r:id="rId42" display="http://www.westlaw.com/Find/Default.wl?rs=dfa1.0&amp;vr=2.0&amp;DB=350&amp;FindType=Y&amp;SerialNum=1992061424"/>
    <hyperlink ref="A83" r:id="rId43" display="http://www.westlaw.com/Find/Default.wl?rs=dfa1.0&amp;vr=2.0&amp;DB=350&amp;FindType=Y&amp;SerialNum=1992045059"/>
    <hyperlink ref="A97" r:id="rId44" display="http://www.westlaw.com/Find/Default.wl?rs=dfa1.0&amp;vr=2.0&amp;DB=350&amp;FindType=Y&amp;SerialNum=1992039255"/>
    <hyperlink ref="A43" r:id="rId45" display="http://www.westlaw.com/Find/Default.wl?rs=dfa1.0&amp;vr=2.0&amp;DB=350&amp;FindType=Y&amp;SerialNum=1992032688"/>
    <hyperlink ref="A84" r:id="rId46" display="http://www.westlaw.com/Find/Default.wl?rs=dfa1.0&amp;vr=2.0&amp;DB=350&amp;FindType=Y&amp;SerialNum=1992027540"/>
    <hyperlink ref="A30" r:id="rId47" display="http://www.westlaw.com/Find/Default.wl?rs=dfa1.0&amp;vr=2.0&amp;DB=350&amp;FindType=Y&amp;SerialNum=1992019771"/>
    <hyperlink ref="A31" r:id="rId48" display="http://www.westlaw.com/Find/Default.wl?rs=dfa1.0&amp;vr=2.0&amp;DB=350&amp;FindType=Y&amp;SerialNum=1991209879"/>
    <hyperlink ref="A85" r:id="rId49" display="http://www.westlaw.com/Find/Default.wl?rs=dfa1.0&amp;vr=2.0&amp;DB=350&amp;FindType=Y&amp;SerialNum=1991208239"/>
    <hyperlink ref="A86" r:id="rId50" display="http://www.westlaw.com/Find/Default.wl?rs=dfa1.0&amp;vr=2.0&amp;DB=350&amp;FindType=Y&amp;SerialNum=1991208241"/>
    <hyperlink ref="A51" r:id="rId51" display="http://www.westlaw.com/Find/Default.wl?rs=dfa1.0&amp;vr=2.0&amp;DB=350&amp;FindType=Y&amp;SerialNum=1991206443"/>
    <hyperlink ref="A87" r:id="rId52" display="http://www.westlaw.com/Find/Default.wl?rs=dfa1.0&amp;vr=2.0&amp;DB=350&amp;FindType=Y&amp;SerialNum=1991198257"/>
    <hyperlink ref="A88" r:id="rId53" display="http://www.westlaw.com/Find/Default.wl?rs=dfa1.0&amp;vr=2.0&amp;DB=350&amp;FindType=Y&amp;SerialNum=1991198258"/>
    <hyperlink ref="A32" r:id="rId54" display="http://www.westlaw.com/Find/Default.wl?rs=dfa1.0&amp;vr=2.0&amp;DB=350&amp;FindType=Y&amp;SerialNum=1991196870"/>
    <hyperlink ref="A33" r:id="rId55" display="http://www.westlaw.com/Find/Default.wl?rs=dfa1.0&amp;vr=2.0&amp;DB=350&amp;FindType=Y&amp;SerialNum=1991196871"/>
    <hyperlink ref="A89" r:id="rId56" display="http://www.westlaw.com/Find/Default.wl?rs=dfa1.0&amp;vr=2.0&amp;DB=350&amp;FindType=Y&amp;SerialNum=1991198320"/>
    <hyperlink ref="A90" r:id="rId57" display="http://www.westlaw.com/Find/Default.wl?rs=dfa1.0&amp;vr=2.0&amp;DB=350&amp;FindType=Y&amp;SerialNum=1992061211"/>
    <hyperlink ref="A52" r:id="rId58" display="http://www.westlaw.com/Find/Default.wl?rs=dfa1.0&amp;vr=2.0&amp;DB=350&amp;FindType=Y&amp;SerialNum=1991192105"/>
    <hyperlink ref="A34" r:id="rId59" display="http://www.westlaw.com/Find/Default.wl?rs=dfa1.0&amp;vr=2.0&amp;DB=350&amp;FindType=Y&amp;SerialNum=1991187943"/>
    <hyperlink ref="A91" r:id="rId60" display="http://www.westlaw.com/Find/Default.wl?rs=dfa1.0&amp;vr=2.0&amp;DB=350&amp;FindType=Y&amp;SerialNum=1991187480"/>
    <hyperlink ref="A35" r:id="rId61" display="http://www.westlaw.com/Find/Default.wl?rs=dfa1.0&amp;vr=2.0&amp;DB=350&amp;FindType=Y&amp;SerialNum=1991183867"/>
    <hyperlink ref="A92" r:id="rId62" display="http://www.westlaw.com/Find/Default.wl?rs=dfa1.0&amp;vr=2.0&amp;DB=350&amp;FindType=Y&amp;SerialNum=1991173216"/>
    <hyperlink ref="A93" r:id="rId63" display="http://www.westlaw.com/Find/Default.wl?rs=dfa1.0&amp;vr=2.0&amp;DB=350&amp;FindType=Y&amp;SerialNum=1991170589"/>
    <hyperlink ref="A94" r:id="rId64" display="http://www.westlaw.com/Find/Default.wl?rs=dfa1.0&amp;vr=2.0&amp;DB=350&amp;FindType=Y&amp;SerialNum=1991166879"/>
    <hyperlink ref="A48" r:id="rId65" display="http://www.westlaw.com/Find/Default.wl?rs=dfa1.0&amp;vr=2.0&amp;DB=780&amp;FindType=Y&amp;SerialNum=1992116314"/>
    <hyperlink ref="A44" r:id="rId66" display="http://www.westlaw.com/Find/Default.wl?rs=dfa1.0&amp;vr=2.0&amp;DB=350&amp;FindType=Y&amp;SerialNum=1992067380"/>
    <hyperlink ref="A53" r:id="rId67" display="http://www.westlaw.com/Find/Default.wl?rs=dfa1.0&amp;vr=2.0&amp;DB=350&amp;FindType=Y&amp;SerialNum=1992046526"/>
    <hyperlink ref="A38" r:id="rId68" display="http://www.westlaw.com/Find/Default.wl?rs=dfa1.0&amp;vr=2.0&amp;DB=350&amp;FindType=Y&amp;SerialNum=1992043469"/>
    <hyperlink ref="A39" r:id="rId69" display="http://www.westlaw.com/Find/Default.wl?rs=dfa1.0&amp;vr=2.0&amp;DB=350&amp;FindType=Y&amp;SerialNum=1992017457"/>
    <hyperlink ref="A49" r:id="rId70" display="http://www.westlaw.com/Find/Default.wl?rs=dfa1.0&amp;vr=2.0&amp;DB=350&amp;FindType=Y&amp;SerialNum=1991173217"/>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heetViews>
  <sheetFormatPr baseColWidth="10" defaultColWidth="8.83203125" defaultRowHeight="14" x14ac:dyDescent="0"/>
  <cols>
    <col min="1" max="1" width="13.1640625" customWidth="1"/>
    <col min="2" max="2" width="20.5" customWidth="1"/>
    <col min="3" max="3" width="23.5" customWidth="1"/>
    <col min="5" max="5" width="8.83203125" bestFit="1" customWidth="1"/>
    <col min="6" max="6" width="6.6640625" bestFit="1" customWidth="1"/>
    <col min="7" max="7" width="14.5" bestFit="1" customWidth="1"/>
    <col min="8" max="8" width="20.5" bestFit="1" customWidth="1"/>
    <col min="9" max="9" width="17.83203125" bestFit="1" customWidth="1"/>
    <col min="10" max="10" width="6.33203125" bestFit="1" customWidth="1"/>
  </cols>
  <sheetData>
    <row r="1" spans="1:8">
      <c r="A1" s="11" t="s">
        <v>1840</v>
      </c>
      <c r="B1" s="12"/>
      <c r="C1" s="12"/>
      <c r="G1" s="39"/>
      <c r="H1" s="39"/>
    </row>
    <row r="2" spans="1:8">
      <c r="A2" s="12"/>
      <c r="B2" s="12"/>
      <c r="C2" s="12"/>
    </row>
    <row r="3" spans="1:8">
      <c r="A3" s="12"/>
      <c r="B3" s="14" t="s">
        <v>24</v>
      </c>
      <c r="C3" s="15"/>
    </row>
    <row r="4" spans="1:8">
      <c r="A4" s="12"/>
      <c r="B4" s="16" t="s">
        <v>25</v>
      </c>
      <c r="C4" s="15">
        <f>D34</f>
        <v>12</v>
      </c>
    </row>
    <row r="5" spans="1:8" ht="25">
      <c r="A5" s="12"/>
      <c r="B5" s="16" t="s">
        <v>26</v>
      </c>
      <c r="C5" s="15">
        <f>D31</f>
        <v>11</v>
      </c>
    </row>
    <row r="6" spans="1:8" ht="25">
      <c r="A6" s="12"/>
      <c r="B6" s="16" t="s">
        <v>27</v>
      </c>
      <c r="C6" s="15">
        <v>0</v>
      </c>
    </row>
    <row r="7" spans="1:8">
      <c r="A7" s="12"/>
      <c r="B7" s="16" t="s">
        <v>28</v>
      </c>
      <c r="C7" s="15">
        <v>0</v>
      </c>
    </row>
    <row r="8" spans="1:8">
      <c r="A8" s="12"/>
      <c r="B8" s="16" t="s">
        <v>29</v>
      </c>
      <c r="C8" s="15">
        <f>D40</f>
        <v>4</v>
      </c>
    </row>
    <row r="9" spans="1:8">
      <c r="A9" s="12"/>
      <c r="B9" s="16" t="s">
        <v>30</v>
      </c>
      <c r="C9" s="15">
        <f>D46</f>
        <v>4</v>
      </c>
    </row>
    <row r="10" spans="1:8" ht="25">
      <c r="A10" s="12"/>
      <c r="B10" s="16" t="s">
        <v>14</v>
      </c>
      <c r="C10" s="15">
        <v>0</v>
      </c>
    </row>
    <row r="11" spans="1:8">
      <c r="A11" s="12"/>
      <c r="B11" s="16" t="s">
        <v>15</v>
      </c>
      <c r="C11" s="15">
        <v>0</v>
      </c>
    </row>
    <row r="12" spans="1:8" ht="25">
      <c r="A12" s="12"/>
      <c r="B12" s="16" t="s">
        <v>31</v>
      </c>
      <c r="C12" s="15">
        <f>D80</f>
        <v>32</v>
      </c>
    </row>
    <row r="13" spans="1:8" ht="25">
      <c r="A13" s="12"/>
      <c r="B13" s="16" t="s">
        <v>32</v>
      </c>
      <c r="C13" s="15">
        <v>0</v>
      </c>
    </row>
    <row r="14" spans="1:8" ht="25">
      <c r="A14" s="12"/>
      <c r="B14" s="16" t="s">
        <v>33</v>
      </c>
      <c r="C14" s="15">
        <v>0</v>
      </c>
    </row>
    <row r="15" spans="1:8">
      <c r="A15" s="12"/>
      <c r="B15" s="16" t="s">
        <v>4</v>
      </c>
      <c r="C15" s="17">
        <f>C4+C6+C7+C8+C9+C10+C11</f>
        <v>20</v>
      </c>
    </row>
    <row r="16" spans="1:8" ht="25">
      <c r="A16" s="12"/>
      <c r="B16" s="16" t="s">
        <v>34</v>
      </c>
      <c r="C16" s="15">
        <f>F88</f>
        <v>4</v>
      </c>
    </row>
    <row r="19" spans="1:10">
      <c r="A19" s="42" t="s">
        <v>35</v>
      </c>
      <c r="B19" s="47" t="s">
        <v>36</v>
      </c>
      <c r="C19" s="42" t="s">
        <v>37</v>
      </c>
      <c r="D19" s="42" t="s">
        <v>38</v>
      </c>
      <c r="E19" s="42" t="s">
        <v>39</v>
      </c>
      <c r="F19" s="42" t="s">
        <v>40</v>
      </c>
      <c r="G19" s="42" t="s">
        <v>41</v>
      </c>
      <c r="H19" s="42" t="s">
        <v>42</v>
      </c>
      <c r="I19" s="42" t="s">
        <v>1466</v>
      </c>
      <c r="J19" s="42" t="s">
        <v>44</v>
      </c>
    </row>
    <row r="20" spans="1:10" ht="36">
      <c r="A20" s="43">
        <v>17</v>
      </c>
      <c r="B20" s="51" t="s">
        <v>1732</v>
      </c>
      <c r="C20" s="51" t="s">
        <v>1733</v>
      </c>
      <c r="D20" t="s">
        <v>1469</v>
      </c>
      <c r="E20" t="s">
        <v>1470</v>
      </c>
      <c r="F20" t="s">
        <v>1009</v>
      </c>
    </row>
    <row r="21" spans="1:10" ht="36">
      <c r="A21" s="43">
        <v>18</v>
      </c>
      <c r="B21" s="51" t="s">
        <v>1734</v>
      </c>
      <c r="C21" s="51" t="s">
        <v>1735</v>
      </c>
      <c r="D21" t="s">
        <v>1469</v>
      </c>
      <c r="E21" t="s">
        <v>1470</v>
      </c>
      <c r="F21" t="s">
        <v>1009</v>
      </c>
    </row>
    <row r="22" spans="1:10" ht="48">
      <c r="A22" s="43">
        <v>25</v>
      </c>
      <c r="B22" s="51" t="s">
        <v>1736</v>
      </c>
      <c r="C22" s="51" t="s">
        <v>1737</v>
      </c>
      <c r="D22" t="s">
        <v>1469</v>
      </c>
      <c r="E22" t="s">
        <v>1470</v>
      </c>
      <c r="F22" t="s">
        <v>1009</v>
      </c>
    </row>
    <row r="23" spans="1:10" ht="48">
      <c r="A23" s="43">
        <v>28</v>
      </c>
      <c r="B23" s="51" t="s">
        <v>226</v>
      </c>
      <c r="C23" s="51" t="s">
        <v>1738</v>
      </c>
      <c r="D23" t="s">
        <v>1469</v>
      </c>
      <c r="E23" t="s">
        <v>1470</v>
      </c>
      <c r="F23" t="s">
        <v>1009</v>
      </c>
    </row>
    <row r="24" spans="1:10" ht="84">
      <c r="A24" s="43">
        <v>29</v>
      </c>
      <c r="B24" s="51" t="s">
        <v>1739</v>
      </c>
      <c r="C24" s="51" t="s">
        <v>1740</v>
      </c>
      <c r="D24" t="s">
        <v>1469</v>
      </c>
      <c r="E24" t="s">
        <v>1470</v>
      </c>
      <c r="F24" t="s">
        <v>1009</v>
      </c>
    </row>
    <row r="25" spans="1:10" ht="84">
      <c r="A25" s="43">
        <v>35</v>
      </c>
      <c r="B25" s="51" t="s">
        <v>1741</v>
      </c>
      <c r="C25" s="51" t="s">
        <v>1742</v>
      </c>
      <c r="D25" t="s">
        <v>1469</v>
      </c>
      <c r="E25" t="s">
        <v>1470</v>
      </c>
      <c r="F25" t="s">
        <v>1009</v>
      </c>
    </row>
    <row r="26" spans="1:10" ht="36">
      <c r="A26" s="43">
        <v>43</v>
      </c>
      <c r="B26" s="51" t="s">
        <v>1743</v>
      </c>
      <c r="C26" s="51" t="s">
        <v>1744</v>
      </c>
      <c r="D26" t="s">
        <v>1469</v>
      </c>
      <c r="E26" t="s">
        <v>1470</v>
      </c>
      <c r="F26" t="s">
        <v>1009</v>
      </c>
    </row>
    <row r="27" spans="1:10" ht="48">
      <c r="A27" s="43">
        <v>49</v>
      </c>
      <c r="B27" s="51" t="s">
        <v>1745</v>
      </c>
      <c r="C27" s="51" t="s">
        <v>1746</v>
      </c>
      <c r="D27" t="s">
        <v>1469</v>
      </c>
      <c r="E27" t="s">
        <v>1470</v>
      </c>
      <c r="F27" t="s">
        <v>1009</v>
      </c>
    </row>
    <row r="28" spans="1:10" ht="72">
      <c r="A28" s="43">
        <v>50</v>
      </c>
      <c r="B28" s="51" t="s">
        <v>1747</v>
      </c>
      <c r="C28" s="51" t="s">
        <v>1748</v>
      </c>
      <c r="D28" t="s">
        <v>1469</v>
      </c>
      <c r="E28" t="s">
        <v>1470</v>
      </c>
      <c r="F28" t="s">
        <v>1009</v>
      </c>
    </row>
    <row r="29" spans="1:10" ht="72">
      <c r="A29" s="43">
        <v>51</v>
      </c>
      <c r="B29" s="51" t="s">
        <v>1749</v>
      </c>
      <c r="C29" s="51" t="s">
        <v>1750</v>
      </c>
      <c r="D29" t="s">
        <v>1469</v>
      </c>
      <c r="E29" t="s">
        <v>1470</v>
      </c>
      <c r="F29" t="s">
        <v>1009</v>
      </c>
    </row>
    <row r="30" spans="1:10" ht="36">
      <c r="A30" s="43">
        <v>61</v>
      </c>
      <c r="B30" s="51" t="s">
        <v>1751</v>
      </c>
      <c r="C30" s="51" t="s">
        <v>1752</v>
      </c>
      <c r="D30" t="s">
        <v>1469</v>
      </c>
      <c r="E30" t="s">
        <v>1470</v>
      </c>
      <c r="F30" t="s">
        <v>1009</v>
      </c>
    </row>
    <row r="31" spans="1:10">
      <c r="A31" s="43"/>
      <c r="B31" s="51"/>
      <c r="C31" s="52" t="s">
        <v>81</v>
      </c>
      <c r="D31" s="42">
        <f>COUNTA(D20:D30)</f>
        <v>11</v>
      </c>
    </row>
    <row r="32" spans="1:10">
      <c r="A32" s="43"/>
      <c r="B32" s="51"/>
      <c r="C32" s="51"/>
    </row>
    <row r="33" spans="1:9" ht="72">
      <c r="A33" s="43">
        <v>38</v>
      </c>
      <c r="B33" s="51" t="s">
        <v>1753</v>
      </c>
      <c r="C33" s="51" t="s">
        <v>1754</v>
      </c>
      <c r="D33" t="s">
        <v>1469</v>
      </c>
      <c r="F33" t="s">
        <v>1009</v>
      </c>
    </row>
    <row r="34" spans="1:9">
      <c r="A34" s="43"/>
      <c r="B34" s="51"/>
      <c r="C34" s="52" t="s">
        <v>88</v>
      </c>
      <c r="D34" s="42">
        <f>COUNTA(D33)+D31</f>
        <v>12</v>
      </c>
    </row>
    <row r="35" spans="1:9">
      <c r="A35" s="43"/>
      <c r="B35" s="51"/>
      <c r="C35" s="51"/>
    </row>
    <row r="36" spans="1:9" ht="72">
      <c r="A36" s="43">
        <v>4</v>
      </c>
      <c r="B36" s="51" t="s">
        <v>1755</v>
      </c>
      <c r="C36" s="51" t="s">
        <v>1756</v>
      </c>
      <c r="D36" t="s">
        <v>1514</v>
      </c>
      <c r="F36" t="s">
        <v>1009</v>
      </c>
    </row>
    <row r="37" spans="1:9" ht="60">
      <c r="A37" s="43">
        <v>12</v>
      </c>
      <c r="B37" s="51" t="s">
        <v>1757</v>
      </c>
      <c r="C37" s="51" t="s">
        <v>1758</v>
      </c>
      <c r="D37" t="s">
        <v>1514</v>
      </c>
      <c r="F37" t="s">
        <v>1009</v>
      </c>
    </row>
    <row r="38" spans="1:9" ht="48">
      <c r="A38" s="43">
        <v>53</v>
      </c>
      <c r="B38" s="51" t="s">
        <v>1759</v>
      </c>
      <c r="C38" s="51" t="s">
        <v>1760</v>
      </c>
      <c r="D38" t="s">
        <v>1514</v>
      </c>
      <c r="F38" t="s">
        <v>1010</v>
      </c>
      <c r="G38" t="s">
        <v>1524</v>
      </c>
      <c r="H38" t="s">
        <v>1527</v>
      </c>
      <c r="I38" t="s">
        <v>1010</v>
      </c>
    </row>
    <row r="39" spans="1:9" ht="60">
      <c r="A39" s="43">
        <v>66</v>
      </c>
      <c r="B39" s="51" t="s">
        <v>1761</v>
      </c>
      <c r="C39" s="51" t="s">
        <v>1762</v>
      </c>
      <c r="D39" t="s">
        <v>1514</v>
      </c>
      <c r="F39" t="s">
        <v>1010</v>
      </c>
      <c r="G39" t="s">
        <v>1524</v>
      </c>
      <c r="H39" t="s">
        <v>1514</v>
      </c>
      <c r="I39" t="s">
        <v>1010</v>
      </c>
    </row>
    <row r="40" spans="1:9">
      <c r="A40" s="43"/>
      <c r="B40" s="51"/>
      <c r="C40" s="52" t="s">
        <v>95</v>
      </c>
      <c r="D40" s="42">
        <f>COUNTA(D36:D39)</f>
        <v>4</v>
      </c>
    </row>
    <row r="41" spans="1:9">
      <c r="A41" s="43"/>
      <c r="B41" s="51"/>
      <c r="C41" s="51"/>
    </row>
    <row r="42" spans="1:9" ht="48">
      <c r="A42" s="43">
        <v>14</v>
      </c>
      <c r="B42" s="51" t="s">
        <v>1763</v>
      </c>
      <c r="C42" s="51" t="s">
        <v>1764</v>
      </c>
      <c r="D42" t="s">
        <v>1527</v>
      </c>
      <c r="F42" t="s">
        <v>1009</v>
      </c>
    </row>
    <row r="43" spans="1:9" ht="36">
      <c r="A43" s="43">
        <v>24</v>
      </c>
      <c r="B43" s="51" t="s">
        <v>1637</v>
      </c>
      <c r="C43" s="51" t="s">
        <v>1765</v>
      </c>
      <c r="D43" t="s">
        <v>1527</v>
      </c>
      <c r="F43" t="s">
        <v>1009</v>
      </c>
    </row>
    <row r="44" spans="1:9" ht="60">
      <c r="A44" s="43">
        <v>33</v>
      </c>
      <c r="B44" s="51" t="s">
        <v>1766</v>
      </c>
      <c r="C44" s="51" t="s">
        <v>1767</v>
      </c>
      <c r="D44" t="s">
        <v>1527</v>
      </c>
      <c r="F44" t="s">
        <v>1009</v>
      </c>
    </row>
    <row r="45" spans="1:9" ht="60">
      <c r="A45" s="43">
        <v>39</v>
      </c>
      <c r="B45" s="51" t="s">
        <v>1768</v>
      </c>
      <c r="C45" s="51" t="s">
        <v>1769</v>
      </c>
      <c r="D45" t="s">
        <v>1527</v>
      </c>
      <c r="F45" t="s">
        <v>1009</v>
      </c>
    </row>
    <row r="46" spans="1:9">
      <c r="A46" s="43"/>
      <c r="B46" s="51"/>
      <c r="C46" s="52" t="s">
        <v>95</v>
      </c>
      <c r="D46" s="42">
        <f>COUNTA(D42:D45)</f>
        <v>4</v>
      </c>
    </row>
    <row r="47" spans="1:9">
      <c r="A47" s="43"/>
      <c r="B47" s="51"/>
      <c r="C47" s="51"/>
    </row>
    <row r="48" spans="1:9" ht="72">
      <c r="A48" s="43">
        <v>3</v>
      </c>
      <c r="B48" s="51" t="s">
        <v>1770</v>
      </c>
      <c r="C48" s="51" t="s">
        <v>1771</v>
      </c>
      <c r="D48" t="s">
        <v>1473</v>
      </c>
      <c r="E48" t="s">
        <v>1470</v>
      </c>
      <c r="F48" t="s">
        <v>1009</v>
      </c>
    </row>
    <row r="49" spans="1:6" ht="36">
      <c r="A49" s="43">
        <v>6</v>
      </c>
      <c r="B49" s="51" t="s">
        <v>1772</v>
      </c>
      <c r="C49" s="51" t="s">
        <v>1773</v>
      </c>
      <c r="D49" t="s">
        <v>1473</v>
      </c>
      <c r="E49" t="s">
        <v>1470</v>
      </c>
      <c r="F49" t="s">
        <v>1009</v>
      </c>
    </row>
    <row r="50" spans="1:6" ht="36">
      <c r="A50" s="43">
        <v>7</v>
      </c>
      <c r="B50" s="51" t="s">
        <v>1774</v>
      </c>
      <c r="C50" s="51" t="s">
        <v>1775</v>
      </c>
      <c r="D50" t="s">
        <v>1473</v>
      </c>
      <c r="E50" t="s">
        <v>1470</v>
      </c>
      <c r="F50" t="s">
        <v>1009</v>
      </c>
    </row>
    <row r="51" spans="1:6" ht="36">
      <c r="A51" s="43">
        <v>8</v>
      </c>
      <c r="B51" s="51" t="s">
        <v>453</v>
      </c>
      <c r="C51" s="51" t="s">
        <v>1776</v>
      </c>
      <c r="D51" t="s">
        <v>1473</v>
      </c>
      <c r="E51" t="s">
        <v>1470</v>
      </c>
      <c r="F51" t="s">
        <v>1009</v>
      </c>
    </row>
    <row r="52" spans="1:6" ht="36">
      <c r="A52" s="43">
        <v>9</v>
      </c>
      <c r="B52" s="51" t="s">
        <v>1777</v>
      </c>
      <c r="C52" s="51" t="s">
        <v>1778</v>
      </c>
      <c r="D52" t="s">
        <v>1473</v>
      </c>
      <c r="E52" t="s">
        <v>1470</v>
      </c>
      <c r="F52" t="s">
        <v>1009</v>
      </c>
    </row>
    <row r="53" spans="1:6" ht="36">
      <c r="A53" s="43">
        <v>10</v>
      </c>
      <c r="B53" s="51" t="s">
        <v>1779</v>
      </c>
      <c r="C53" s="51" t="s">
        <v>1780</v>
      </c>
      <c r="D53" t="s">
        <v>1473</v>
      </c>
      <c r="E53" t="s">
        <v>1470</v>
      </c>
      <c r="F53" t="s">
        <v>1009</v>
      </c>
    </row>
    <row r="54" spans="1:6" ht="60">
      <c r="A54" s="43">
        <v>11</v>
      </c>
      <c r="B54" s="51" t="s">
        <v>1781</v>
      </c>
      <c r="C54" s="51" t="s">
        <v>1782</v>
      </c>
      <c r="D54" t="s">
        <v>1473</v>
      </c>
      <c r="E54" t="s">
        <v>1470</v>
      </c>
      <c r="F54" t="s">
        <v>1009</v>
      </c>
    </row>
    <row r="55" spans="1:6" ht="36">
      <c r="A55" s="43">
        <v>13</v>
      </c>
      <c r="B55" s="51" t="s">
        <v>1783</v>
      </c>
      <c r="C55" s="51" t="s">
        <v>1784</v>
      </c>
      <c r="D55" t="s">
        <v>1473</v>
      </c>
      <c r="E55" t="s">
        <v>1470</v>
      </c>
      <c r="F55" t="s">
        <v>1009</v>
      </c>
    </row>
    <row r="56" spans="1:6" ht="48">
      <c r="A56" s="43">
        <v>21</v>
      </c>
      <c r="B56" s="51" t="s">
        <v>1785</v>
      </c>
      <c r="C56" s="51" t="s">
        <v>1786</v>
      </c>
      <c r="D56" t="s">
        <v>1473</v>
      </c>
      <c r="E56" t="s">
        <v>1470</v>
      </c>
      <c r="F56" t="s">
        <v>1009</v>
      </c>
    </row>
    <row r="57" spans="1:6" ht="72">
      <c r="A57" s="43">
        <v>22</v>
      </c>
      <c r="B57" s="51" t="s">
        <v>1787</v>
      </c>
      <c r="C57" s="51" t="s">
        <v>1788</v>
      </c>
      <c r="D57" t="s">
        <v>1473</v>
      </c>
      <c r="E57" t="s">
        <v>1470</v>
      </c>
      <c r="F57" t="s">
        <v>1009</v>
      </c>
    </row>
    <row r="58" spans="1:6" ht="48">
      <c r="A58" s="43">
        <v>32</v>
      </c>
      <c r="B58" s="51" t="s">
        <v>1789</v>
      </c>
      <c r="C58" s="51" t="s">
        <v>1790</v>
      </c>
      <c r="D58" t="s">
        <v>1473</v>
      </c>
      <c r="E58" t="s">
        <v>1470</v>
      </c>
      <c r="F58" t="s">
        <v>1009</v>
      </c>
    </row>
    <row r="59" spans="1:6" ht="36">
      <c r="A59" s="43">
        <v>34</v>
      </c>
      <c r="B59" s="51" t="s">
        <v>1791</v>
      </c>
      <c r="C59" s="51" t="s">
        <v>1792</v>
      </c>
      <c r="D59" t="s">
        <v>1473</v>
      </c>
      <c r="E59" t="s">
        <v>1470</v>
      </c>
      <c r="F59" t="s">
        <v>1009</v>
      </c>
    </row>
    <row r="60" spans="1:6" ht="60">
      <c r="A60" s="43">
        <v>36</v>
      </c>
      <c r="B60" s="51" t="s">
        <v>1793</v>
      </c>
      <c r="C60" s="51" t="s">
        <v>1794</v>
      </c>
      <c r="D60" t="s">
        <v>1473</v>
      </c>
      <c r="E60" t="s">
        <v>1470</v>
      </c>
      <c r="F60" t="s">
        <v>1009</v>
      </c>
    </row>
    <row r="61" spans="1:6" ht="36">
      <c r="A61" s="43">
        <v>37</v>
      </c>
      <c r="B61" s="51" t="s">
        <v>1795</v>
      </c>
      <c r="C61" s="51" t="s">
        <v>1796</v>
      </c>
      <c r="D61" t="s">
        <v>1473</v>
      </c>
      <c r="E61" t="s">
        <v>1470</v>
      </c>
      <c r="F61" t="s">
        <v>1009</v>
      </c>
    </row>
    <row r="62" spans="1:6" ht="36">
      <c r="A62" s="43">
        <v>40</v>
      </c>
      <c r="B62" s="51" t="s">
        <v>1797</v>
      </c>
      <c r="C62" s="51" t="s">
        <v>1798</v>
      </c>
      <c r="D62" t="s">
        <v>1473</v>
      </c>
      <c r="E62" t="s">
        <v>1470</v>
      </c>
      <c r="F62" t="s">
        <v>1009</v>
      </c>
    </row>
    <row r="63" spans="1:6" ht="36">
      <c r="A63" s="43">
        <v>41</v>
      </c>
      <c r="B63" s="51" t="s">
        <v>1799</v>
      </c>
      <c r="C63" s="51" t="s">
        <v>1800</v>
      </c>
      <c r="D63" t="s">
        <v>1473</v>
      </c>
      <c r="E63" t="s">
        <v>1470</v>
      </c>
      <c r="F63" t="s">
        <v>1009</v>
      </c>
    </row>
    <row r="64" spans="1:6" ht="48">
      <c r="A64" s="43">
        <v>42</v>
      </c>
      <c r="B64" s="51" t="s">
        <v>1801</v>
      </c>
      <c r="C64" s="51" t="s">
        <v>1802</v>
      </c>
      <c r="D64" t="s">
        <v>1473</v>
      </c>
      <c r="E64" t="s">
        <v>1470</v>
      </c>
      <c r="F64" t="s">
        <v>1009</v>
      </c>
    </row>
    <row r="65" spans="1:6" ht="72">
      <c r="A65" s="43">
        <v>45</v>
      </c>
      <c r="B65" s="51" t="s">
        <v>1803</v>
      </c>
      <c r="C65" s="51" t="s">
        <v>1804</v>
      </c>
      <c r="D65" t="s">
        <v>1473</v>
      </c>
      <c r="E65" t="s">
        <v>1470</v>
      </c>
      <c r="F65" t="s">
        <v>1009</v>
      </c>
    </row>
    <row r="66" spans="1:6" ht="60">
      <c r="A66" s="43">
        <v>46</v>
      </c>
      <c r="B66" s="51" t="s">
        <v>1805</v>
      </c>
      <c r="C66" s="51" t="s">
        <v>1806</v>
      </c>
      <c r="D66" t="s">
        <v>1473</v>
      </c>
      <c r="E66" t="s">
        <v>1470</v>
      </c>
      <c r="F66" t="s">
        <v>1009</v>
      </c>
    </row>
    <row r="67" spans="1:6" ht="48">
      <c r="A67" s="43">
        <v>47</v>
      </c>
      <c r="B67" s="51" t="s">
        <v>1807</v>
      </c>
      <c r="C67" s="51" t="s">
        <v>1808</v>
      </c>
      <c r="D67" t="s">
        <v>1473</v>
      </c>
      <c r="F67" t="s">
        <v>1009</v>
      </c>
    </row>
    <row r="68" spans="1:6" ht="36">
      <c r="A68" s="43">
        <v>54</v>
      </c>
      <c r="B68" s="51" t="s">
        <v>1809</v>
      </c>
      <c r="C68" s="51" t="s">
        <v>1810</v>
      </c>
      <c r="D68" t="s">
        <v>1473</v>
      </c>
      <c r="F68" t="s">
        <v>1009</v>
      </c>
    </row>
    <row r="69" spans="1:6" ht="36">
      <c r="A69" s="43">
        <v>55</v>
      </c>
      <c r="B69" s="51" t="s">
        <v>1811</v>
      </c>
      <c r="C69" s="51" t="s">
        <v>1812</v>
      </c>
      <c r="D69" t="s">
        <v>1473</v>
      </c>
      <c r="E69" t="s">
        <v>1470</v>
      </c>
      <c r="F69" t="s">
        <v>1009</v>
      </c>
    </row>
    <row r="70" spans="1:6" ht="48">
      <c r="A70" s="43">
        <v>59</v>
      </c>
      <c r="B70" s="51" t="s">
        <v>1813</v>
      </c>
      <c r="C70" s="51" t="s">
        <v>1814</v>
      </c>
      <c r="D70" t="s">
        <v>1473</v>
      </c>
      <c r="E70" t="s">
        <v>1470</v>
      </c>
      <c r="F70" t="s">
        <v>1009</v>
      </c>
    </row>
    <row r="71" spans="1:6" ht="48">
      <c r="A71" s="43">
        <v>60</v>
      </c>
      <c r="B71" s="51" t="s">
        <v>1815</v>
      </c>
      <c r="C71" s="51" t="s">
        <v>1816</v>
      </c>
      <c r="D71" t="s">
        <v>1473</v>
      </c>
      <c r="E71" t="s">
        <v>1470</v>
      </c>
      <c r="F71" t="s">
        <v>1009</v>
      </c>
    </row>
    <row r="72" spans="1:6" ht="48">
      <c r="A72" s="43">
        <v>62</v>
      </c>
      <c r="B72" s="51" t="s">
        <v>1817</v>
      </c>
      <c r="C72" s="51" t="s">
        <v>1818</v>
      </c>
      <c r="D72" t="s">
        <v>1473</v>
      </c>
      <c r="E72" t="s">
        <v>1470</v>
      </c>
      <c r="F72" t="s">
        <v>1009</v>
      </c>
    </row>
    <row r="73" spans="1:6" ht="36">
      <c r="A73" s="43">
        <v>63</v>
      </c>
      <c r="B73" s="51" t="s">
        <v>1639</v>
      </c>
      <c r="C73" s="51" t="s">
        <v>1819</v>
      </c>
      <c r="D73" t="s">
        <v>1473</v>
      </c>
      <c r="E73" t="s">
        <v>1470</v>
      </c>
      <c r="F73" t="s">
        <v>1009</v>
      </c>
    </row>
    <row r="74" spans="1:6" ht="60">
      <c r="A74" s="43">
        <v>64</v>
      </c>
      <c r="B74" s="51" t="s">
        <v>1820</v>
      </c>
      <c r="C74" s="51" t="s">
        <v>1821</v>
      </c>
      <c r="D74" t="s">
        <v>1473</v>
      </c>
      <c r="E74" t="s">
        <v>1470</v>
      </c>
      <c r="F74" t="s">
        <v>1009</v>
      </c>
    </row>
    <row r="75" spans="1:6" ht="36">
      <c r="A75" s="43">
        <v>67</v>
      </c>
      <c r="B75" s="51" t="s">
        <v>1822</v>
      </c>
      <c r="C75" s="51" t="s">
        <v>1823</v>
      </c>
      <c r="D75" t="s">
        <v>1473</v>
      </c>
      <c r="E75" t="s">
        <v>1470</v>
      </c>
      <c r="F75" t="s">
        <v>1009</v>
      </c>
    </row>
    <row r="76" spans="1:6" ht="48">
      <c r="A76" s="43">
        <v>68</v>
      </c>
      <c r="B76" s="51" t="s">
        <v>1824</v>
      </c>
      <c r="C76" s="51" t="s">
        <v>1825</v>
      </c>
      <c r="D76" t="s">
        <v>1473</v>
      </c>
      <c r="E76" t="s">
        <v>1470</v>
      </c>
      <c r="F76" t="s">
        <v>1009</v>
      </c>
    </row>
    <row r="77" spans="1:6" ht="48">
      <c r="A77" s="43">
        <v>69</v>
      </c>
      <c r="B77" s="51" t="s">
        <v>1826</v>
      </c>
      <c r="C77" s="51" t="s">
        <v>1827</v>
      </c>
      <c r="D77" t="s">
        <v>1473</v>
      </c>
      <c r="E77" t="s">
        <v>1470</v>
      </c>
      <c r="F77" t="s">
        <v>1009</v>
      </c>
    </row>
    <row r="78" spans="1:6" ht="48">
      <c r="A78" s="43">
        <v>70</v>
      </c>
      <c r="B78" s="51" t="s">
        <v>1828</v>
      </c>
      <c r="C78" s="51" t="s">
        <v>1829</v>
      </c>
      <c r="D78" t="s">
        <v>1473</v>
      </c>
      <c r="E78" t="s">
        <v>1470</v>
      </c>
      <c r="F78" t="s">
        <v>1009</v>
      </c>
    </row>
    <row r="79" spans="1:6" ht="96">
      <c r="A79" s="43">
        <v>72</v>
      </c>
      <c r="B79" s="51" t="s">
        <v>1830</v>
      </c>
      <c r="C79" s="51" t="s">
        <v>1831</v>
      </c>
      <c r="D79" t="s">
        <v>1473</v>
      </c>
      <c r="E79" t="s">
        <v>1470</v>
      </c>
      <c r="F79" t="s">
        <v>1009</v>
      </c>
    </row>
    <row r="80" spans="1:6">
      <c r="A80" s="43"/>
      <c r="B80" s="51"/>
      <c r="C80" s="52" t="s">
        <v>95</v>
      </c>
      <c r="D80" s="42">
        <f>COUNTA(D48:D79)</f>
        <v>32</v>
      </c>
    </row>
    <row r="81" spans="1:9">
      <c r="A81" s="43"/>
      <c r="B81" s="51"/>
      <c r="C81" s="51"/>
    </row>
    <row r="82" spans="1:9">
      <c r="A82" s="43"/>
      <c r="B82" s="51"/>
      <c r="C82" s="51"/>
    </row>
    <row r="83" spans="1:9">
      <c r="A83" s="43"/>
      <c r="B83" s="51"/>
      <c r="C83" s="57" t="s">
        <v>165</v>
      </c>
    </row>
    <row r="84" spans="1:9" ht="48">
      <c r="A84" s="43">
        <v>74</v>
      </c>
      <c r="B84" s="51" t="s">
        <v>1832</v>
      </c>
      <c r="C84" s="51" t="s">
        <v>1833</v>
      </c>
      <c r="F84" t="s">
        <v>1010</v>
      </c>
      <c r="G84" t="s">
        <v>1514</v>
      </c>
      <c r="H84" t="s">
        <v>1517</v>
      </c>
      <c r="I84" t="s">
        <v>1009</v>
      </c>
    </row>
    <row r="85" spans="1:9" ht="48">
      <c r="A85" s="43">
        <v>27</v>
      </c>
      <c r="B85" s="51" t="s">
        <v>1834</v>
      </c>
      <c r="C85" s="51" t="s">
        <v>1835</v>
      </c>
      <c r="F85" t="s">
        <v>1010</v>
      </c>
      <c r="G85" t="s">
        <v>1524</v>
      </c>
      <c r="H85" t="s">
        <v>1469</v>
      </c>
      <c r="I85" t="s">
        <v>1009</v>
      </c>
    </row>
    <row r="86" spans="1:9" ht="36">
      <c r="A86" s="43">
        <v>30</v>
      </c>
      <c r="B86" s="51" t="s">
        <v>1836</v>
      </c>
      <c r="C86" s="51" t="s">
        <v>1837</v>
      </c>
      <c r="F86" t="s">
        <v>1010</v>
      </c>
      <c r="G86" t="s">
        <v>1524</v>
      </c>
      <c r="H86" t="s">
        <v>1527</v>
      </c>
      <c r="I86" t="s">
        <v>1009</v>
      </c>
    </row>
    <row r="87" spans="1:9" ht="36">
      <c r="A87" s="43">
        <v>73</v>
      </c>
      <c r="B87" s="51" t="s">
        <v>1838</v>
      </c>
      <c r="C87" s="51" t="s">
        <v>1839</v>
      </c>
      <c r="F87" t="s">
        <v>1010</v>
      </c>
      <c r="G87" t="s">
        <v>1524</v>
      </c>
      <c r="H87" t="s">
        <v>1469</v>
      </c>
      <c r="I87" t="s">
        <v>1009</v>
      </c>
    </row>
    <row r="88" spans="1:9">
      <c r="E88" s="42" t="s">
        <v>95</v>
      </c>
      <c r="F88" s="42">
        <f>COUNTA(F84:F87)</f>
        <v>4</v>
      </c>
    </row>
  </sheetData>
  <hyperlinks>
    <hyperlink ref="A48" r:id="rId1" display="http://www.westlaw.com/Find/Default.wl?rs=dfa1.0&amp;vr=2.0&amp;DB=506&amp;FindType=Y&amp;SerialNum=1993177846"/>
    <hyperlink ref="A36" r:id="rId2" display="http://www.westlaw.com/Find/Default.wl?rs=dfa1.0&amp;vr=2.0&amp;DB=506&amp;FindType=Y&amp;SerialNum=1993172482"/>
    <hyperlink ref="A49" r:id="rId3" display="http://www.westlaw.com/Find/Default.wl?rs=dfa1.0&amp;vr=2.0&amp;DB=506&amp;FindType=Y&amp;SerialNum=1993165899"/>
    <hyperlink ref="A50" r:id="rId4" display="http://www.westlaw.com/Find/Default.wl?rs=dfa1.0&amp;vr=2.0&amp;DB=506&amp;FindType=Y&amp;SerialNum=1993165901"/>
    <hyperlink ref="A51" r:id="rId5" display="http://www.westlaw.com/Find/Default.wl?rs=dfa1.0&amp;vr=2.0&amp;DB=506&amp;FindType=Y&amp;SerialNum=1993165903"/>
    <hyperlink ref="A52" r:id="rId6" display="http://www.westlaw.com/Find/Default.wl?rs=dfa1.0&amp;vr=2.0&amp;DB=506&amp;FindType=Y&amp;SerialNum=1993165500"/>
    <hyperlink ref="A53" r:id="rId7" display="http://www.westlaw.com/Find/Default.wl?rs=dfa1.0&amp;vr=2.0&amp;DB=506&amp;FindType=Y&amp;SerialNum=1993161094"/>
    <hyperlink ref="A54" r:id="rId8" display="http://www.westlaw.com/Find/Default.wl?rs=dfa1.0&amp;vr=2.0&amp;DB=506&amp;FindType=Y&amp;SerialNum=1993160208"/>
    <hyperlink ref="A37" r:id="rId9" display="http://www.westlaw.com/Find/Default.wl?rs=dfa1.0&amp;vr=2.0&amp;DB=506&amp;FindType=Y&amp;SerialNum=1993151650"/>
    <hyperlink ref="A55" r:id="rId10" display="http://www.westlaw.com/Find/Default.wl?rs=dfa1.0&amp;vr=2.0&amp;DB=350&amp;FindType=Y&amp;SerialNum=1993147286"/>
    <hyperlink ref="A42" r:id="rId11" display="http://www.westlaw.com/Find/Default.wl?rs=dfa1.0&amp;vr=2.0&amp;DB=350&amp;FindType=Y&amp;SerialNum=1993143205"/>
    <hyperlink ref="A20" r:id="rId12" display="http://www.westlaw.com/Find/Default.wl?rs=dfa1.0&amp;vr=2.0&amp;DB=350&amp;FindType=Y&amp;SerialNum=1993132627"/>
    <hyperlink ref="A21" r:id="rId13" display="http://www.westlaw.com/Find/Default.wl?rs=dfa1.0&amp;vr=2.0&amp;DB=350&amp;FindType=Y&amp;SerialNum=1993120969"/>
    <hyperlink ref="A56" r:id="rId14" display="http://www.westlaw.com/Find/Default.wl?rs=dfa1.0&amp;vr=2.0&amp;DB=350&amp;FindType=Y&amp;SerialNum=1993107274"/>
    <hyperlink ref="A57" r:id="rId15" display="http://www.westlaw.com/Find/Default.wl?rs=dfa1.0&amp;vr=2.0&amp;DB=350&amp;FindType=Y&amp;SerialNum=1993107275"/>
    <hyperlink ref="A43" r:id="rId16" display="http://www.westlaw.com/Find/Default.wl?rs=dfa1.0&amp;vr=2.0&amp;DB=350&amp;FindType=Y&amp;SerialNum=1993106679"/>
    <hyperlink ref="A22" r:id="rId17" display="http://www.westlaw.com/Find/Default.wl?rs=dfa1.0&amp;vr=2.0&amp;DB=350&amp;FindType=Y&amp;SerialNum=1993104394"/>
    <hyperlink ref="A85" r:id="rId18" display="http://www.westlaw.com/Find/Default.wl?rs=dfa1.0&amp;vr=2.0&amp;DB=350&amp;FindType=Y&amp;SerialNum=1993089506"/>
    <hyperlink ref="A23" r:id="rId19" display="http://www.westlaw.com/Find/Default.wl?rs=dfa1.0&amp;vr=2.0&amp;DB=350&amp;FindType=Y&amp;SerialNum=1993097670"/>
    <hyperlink ref="A24" r:id="rId20" display="http://www.westlaw.com/Find/Default.wl?rs=dfa1.0&amp;vr=2.0&amp;DB=350&amp;FindType=Y&amp;SerialNum=1993091261"/>
    <hyperlink ref="A86" r:id="rId21" display="http://www.westlaw.com/Find/Default.wl?rs=dfa1.0&amp;vr=2.0&amp;DB=350&amp;FindType=Y&amp;SerialNum=1993082304"/>
    <hyperlink ref="A58" r:id="rId22" display="http://www.westlaw.com/Find/Default.wl?rs=dfa1.0&amp;vr=2.0&amp;DB=350&amp;FindType=Y&amp;SerialNum=1993077280"/>
    <hyperlink ref="A44" r:id="rId23" display="http://www.westlaw.com/Find/Default.wl?rs=dfa1.0&amp;vr=2.0&amp;DB=350&amp;FindType=Y&amp;SerialNum=1993077284"/>
    <hyperlink ref="A59" r:id="rId24" display="http://www.westlaw.com/Find/Default.wl?rs=dfa1.0&amp;vr=2.0&amp;DB=350&amp;FindType=Y&amp;SerialNum=1993078357"/>
    <hyperlink ref="A25" r:id="rId25" display="http://www.westlaw.com/Find/Default.wl?rs=dfa1.0&amp;vr=2.0&amp;DB=350&amp;FindType=Y&amp;SerialNum=1993076452"/>
    <hyperlink ref="A60" r:id="rId26" display="http://www.westlaw.com/Find/Default.wl?rs=dfa1.0&amp;vr=2.0&amp;DB=350&amp;FindType=Y&amp;SerialNum=1993070530"/>
    <hyperlink ref="A61" r:id="rId27" display="http://www.westlaw.com/Find/Default.wl?rs=dfa1.0&amp;vr=2.0&amp;DB=350&amp;FindType=Y&amp;SerialNum=1993061983"/>
    <hyperlink ref="A33" r:id="rId28" display="http://www.westlaw.com/Find/Default.wl?rs=dfa1.0&amp;vr=2.0&amp;DB=350&amp;FindType=Y&amp;SerialNum=1993061985"/>
    <hyperlink ref="A45" r:id="rId29" display="http://www.westlaw.com/Find/Default.wl?rs=dfa1.0&amp;vr=2.0&amp;DB=350&amp;FindType=Y&amp;SerialNum=1993051992"/>
    <hyperlink ref="A62" r:id="rId30" display="http://www.westlaw.com/Find/Default.wl?rs=dfa1.0&amp;vr=2.0&amp;DB=350&amp;FindType=Y&amp;SerialNum=1993050990"/>
    <hyperlink ref="A63" r:id="rId31" display="http://www.westlaw.com/Find/Default.wl?rs=dfa1.0&amp;vr=2.0&amp;DB=350&amp;FindType=Y&amp;SerialNum=1993052836"/>
    <hyperlink ref="A64" r:id="rId32" display="http://www.westlaw.com/Find/Default.wl?rs=dfa1.0&amp;vr=2.0&amp;DB=350&amp;FindType=Y&amp;SerialNum=1993047630"/>
    <hyperlink ref="A26" r:id="rId33" display="http://www.westlaw.com/Find/Default.wl?rs=dfa1.0&amp;vr=2.0&amp;DB=350&amp;FindType=Y&amp;SerialNum=1993046736"/>
    <hyperlink ref="A65" r:id="rId34" display="http://www.westlaw.com/Find/Default.wl?rs=dfa1.0&amp;vr=2.0&amp;DB=350&amp;FindType=Y&amp;SerialNum=1993045493"/>
    <hyperlink ref="A66" r:id="rId35" display="http://www.westlaw.com/Find/Default.wl?rs=dfa1.0&amp;vr=2.0&amp;DB=350&amp;FindType=Y&amp;SerialNum=1993042591"/>
    <hyperlink ref="A67" r:id="rId36" display="http://www.westlaw.com/Find/Default.wl?rs=dfa1.0&amp;vr=2.0&amp;DB=350&amp;FindType=Y&amp;SerialNum=1993037981"/>
    <hyperlink ref="A27" r:id="rId37" display="http://www.westlaw.com/Find/Default.wl?rs=dfa1.0&amp;vr=2.0&amp;DB=350&amp;FindType=Y&amp;SerialNum=1993033906"/>
    <hyperlink ref="A28" r:id="rId38" display="http://www.westlaw.com/Find/Default.wl?rs=dfa1.0&amp;vr=2.0&amp;DB=350&amp;FindType=Y&amp;SerialNum=1993033918"/>
    <hyperlink ref="A29" r:id="rId39" display="http://www.westlaw.com/Find/Default.wl?rs=dfa1.0&amp;vr=2.0&amp;DB=350&amp;FindType=Y&amp;SerialNum=1993033993"/>
    <hyperlink ref="A38" r:id="rId40" display="http://www.westlaw.com/Find/Default.wl?rs=dfa1.0&amp;vr=2.0&amp;DB=350&amp;FindType=Y&amp;SerialNum=1992224694"/>
    <hyperlink ref="A68" r:id="rId41" display="http://www.westlaw.com/Find/Default.wl?rs=dfa1.0&amp;vr=2.0&amp;DB=350&amp;FindType=Y&amp;SerialNum=1992223857"/>
    <hyperlink ref="A69" r:id="rId42" display="http://www.westlaw.com/Find/Default.wl?rs=dfa1.0&amp;vr=2.0&amp;DB=350&amp;FindType=Y&amp;SerialNum=1992221485"/>
    <hyperlink ref="A70" r:id="rId43" display="http://www.westlaw.com/Find/Default.wl?rs=dfa1.0&amp;vr=2.0&amp;DB=350&amp;FindType=Y&amp;SerialNum=1992199656"/>
    <hyperlink ref="A71" r:id="rId44" display="http://www.westlaw.com/Find/Default.wl?rs=dfa1.0&amp;vr=2.0&amp;DB=350&amp;FindType=Y&amp;SerialNum=1992197643"/>
    <hyperlink ref="A30" r:id="rId45" display="http://www.westlaw.com/Find/Default.wl?rs=dfa1.0&amp;vr=2.0&amp;DB=350&amp;FindType=Y&amp;SerialNum=1992194885"/>
    <hyperlink ref="A72" r:id="rId46" display="http://www.westlaw.com/Find/Default.wl?rs=dfa1.0&amp;vr=2.0&amp;DB=350&amp;FindType=Y&amp;SerialNum=1992189724"/>
    <hyperlink ref="A73" r:id="rId47" display="http://www.westlaw.com/Find/Default.wl?rs=dfa1.0&amp;vr=2.0&amp;DB=350&amp;FindType=Y&amp;SerialNum=1992187779"/>
    <hyperlink ref="A74" r:id="rId48" display="http://www.westlaw.com/Find/Default.wl?rs=dfa1.0&amp;vr=2.0&amp;DB=350&amp;FindType=Y&amp;SerialNum=1992187781"/>
    <hyperlink ref="A39" r:id="rId49" display="http://www.westlaw.com/Find/Default.wl?rs=dfa1.0&amp;vr=2.0&amp;DB=350&amp;FindType=Y&amp;SerialNum=1992185973"/>
    <hyperlink ref="A75" r:id="rId50" display="http://www.westlaw.com/Find/Default.wl?rs=dfa1.0&amp;vr=2.0&amp;DB=350&amp;FindType=Y&amp;SerialNum=1992179755"/>
    <hyperlink ref="A76" r:id="rId51" display="http://www.westlaw.com/Find/Default.wl?rs=dfa1.0&amp;vr=2.0&amp;DB=350&amp;FindType=Y&amp;SerialNum=1992178857"/>
    <hyperlink ref="A77" r:id="rId52" display="http://www.westlaw.com/Find/Default.wl?rs=dfa1.0&amp;vr=2.0&amp;DB=350&amp;FindType=Y&amp;SerialNum=1992178732"/>
    <hyperlink ref="A78" r:id="rId53" display="http://www.westlaw.com/Find/Default.wl?rs=dfa1.0&amp;vr=2.0&amp;DB=350&amp;FindType=Y&amp;SerialNum=1992176443"/>
    <hyperlink ref="A79" r:id="rId54" display="http://www.westlaw.com/Find/Default.wl?rs=dfa1.0&amp;vr=2.0&amp;DB=350&amp;FindType=Y&amp;SerialNum=1992174070"/>
    <hyperlink ref="A87" r:id="rId55" display="http://www.westlaw.com/Find/Default.wl?rs=dfa1.0&amp;vr=2.0&amp;DB=345&amp;FindType=Y&amp;SerialNum=1994159894"/>
    <hyperlink ref="A84" r:id="rId56" display="http://www.westlaw.com/Find/Default.wl?rs=dfa1.0&amp;vr=2.0&amp;DB=345&amp;FindType=Y&amp;SerialNum=1993064934"/>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zoomScale="85" zoomScaleNormal="85" zoomScalePageLayoutView="85" workbookViewId="0"/>
  </sheetViews>
  <sheetFormatPr baseColWidth="10" defaultColWidth="8.83203125" defaultRowHeight="14" x14ac:dyDescent="0"/>
  <cols>
    <col min="2" max="2" width="24" customWidth="1"/>
    <col min="3" max="3" width="12.5" customWidth="1"/>
    <col min="4" max="4" width="9.83203125" bestFit="1" customWidth="1"/>
  </cols>
  <sheetData>
    <row r="1" spans="1:6">
      <c r="A1" s="11" t="s">
        <v>4594</v>
      </c>
      <c r="B1" s="12"/>
      <c r="C1" s="39">
        <v>34246</v>
      </c>
      <c r="D1" s="39">
        <v>34609</v>
      </c>
      <c r="E1" s="39"/>
      <c r="F1" s="39"/>
    </row>
    <row r="2" spans="1:6">
      <c r="A2" s="12"/>
      <c r="B2" s="12"/>
      <c r="C2" s="12"/>
    </row>
    <row r="3" spans="1:6">
      <c r="A3" s="12"/>
      <c r="B3" s="14" t="s">
        <v>24</v>
      </c>
      <c r="C3" s="15"/>
    </row>
    <row r="4" spans="1:6">
      <c r="A4" s="12"/>
      <c r="B4" s="16" t="s">
        <v>25</v>
      </c>
      <c r="C4" s="15">
        <f>D43</f>
        <v>22</v>
      </c>
    </row>
    <row r="5" spans="1:6">
      <c r="A5" s="12"/>
      <c r="B5" s="16" t="s">
        <v>26</v>
      </c>
      <c r="C5" s="15">
        <f>D39</f>
        <v>20</v>
      </c>
    </row>
    <row r="6" spans="1:6" ht="25">
      <c r="A6" s="12"/>
      <c r="B6" s="16" t="s">
        <v>27</v>
      </c>
      <c r="C6" s="15">
        <v>0</v>
      </c>
    </row>
    <row r="7" spans="1:6">
      <c r="A7" s="12"/>
      <c r="B7" s="16" t="s">
        <v>28</v>
      </c>
      <c r="C7" s="15">
        <v>0</v>
      </c>
    </row>
    <row r="8" spans="1:6">
      <c r="A8" s="12"/>
      <c r="B8" s="16" t="s">
        <v>29</v>
      </c>
      <c r="C8" s="15">
        <f>D46</f>
        <v>1</v>
      </c>
    </row>
    <row r="9" spans="1:6">
      <c r="A9" s="12"/>
      <c r="B9" s="16" t="s">
        <v>30</v>
      </c>
      <c r="C9" s="15">
        <f>D57</f>
        <v>9</v>
      </c>
    </row>
    <row r="10" spans="1:6">
      <c r="A10" s="12"/>
      <c r="B10" s="16" t="s">
        <v>14</v>
      </c>
      <c r="C10" s="15">
        <v>0</v>
      </c>
    </row>
    <row r="11" spans="1:6">
      <c r="A11" s="12"/>
      <c r="B11" s="16" t="s">
        <v>15</v>
      </c>
      <c r="C11" s="15">
        <v>0</v>
      </c>
    </row>
    <row r="12" spans="1:6" ht="25">
      <c r="A12" s="12"/>
      <c r="B12" s="16" t="s">
        <v>31</v>
      </c>
      <c r="C12" s="15">
        <f>D104</f>
        <v>45</v>
      </c>
    </row>
    <row r="13" spans="1:6">
      <c r="A13" s="12"/>
      <c r="B13" s="16" t="s">
        <v>32</v>
      </c>
      <c r="C13" s="15">
        <v>0</v>
      </c>
    </row>
    <row r="14" spans="1:6" ht="25">
      <c r="A14" s="12"/>
      <c r="B14" s="16" t="s">
        <v>33</v>
      </c>
      <c r="C14" s="15">
        <v>0</v>
      </c>
    </row>
    <row r="15" spans="1:6">
      <c r="A15" s="12"/>
      <c r="B15" s="16" t="s">
        <v>4</v>
      </c>
      <c r="C15" s="17">
        <f>C4+C6+C7+C8+C9+C10+C11</f>
        <v>32</v>
      </c>
    </row>
    <row r="16" spans="1:6" ht="25">
      <c r="A16" s="12"/>
      <c r="B16" s="16" t="s">
        <v>34</v>
      </c>
      <c r="C16" s="15">
        <f>F113</f>
        <v>6</v>
      </c>
    </row>
    <row r="18" spans="1:9" s="13" customFormat="1" ht="42">
      <c r="A18" s="73" t="s">
        <v>35</v>
      </c>
      <c r="B18" s="73" t="s">
        <v>36</v>
      </c>
      <c r="C18" s="73" t="s">
        <v>37</v>
      </c>
      <c r="D18" s="73" t="s">
        <v>38</v>
      </c>
      <c r="E18" s="73" t="s">
        <v>39</v>
      </c>
      <c r="F18" s="73" t="s">
        <v>40</v>
      </c>
      <c r="G18" s="73" t="s">
        <v>41</v>
      </c>
      <c r="H18" s="77" t="s">
        <v>42</v>
      </c>
      <c r="I18" s="73" t="s">
        <v>1466</v>
      </c>
    </row>
    <row r="19" spans="1:9" s="13" customFormat="1" ht="12.75" customHeight="1">
      <c r="A19" s="74">
        <v>9</v>
      </c>
      <c r="B19" s="75" t="s">
        <v>4433</v>
      </c>
      <c r="C19" s="59" t="s">
        <v>4434</v>
      </c>
      <c r="D19" s="13" t="s">
        <v>1469</v>
      </c>
      <c r="E19" s="13" t="s">
        <v>1470</v>
      </c>
      <c r="F19" s="13" t="s">
        <v>1009</v>
      </c>
      <c r="G19" s="13" t="s">
        <v>2735</v>
      </c>
      <c r="H19" s="13" t="s">
        <v>2735</v>
      </c>
      <c r="I19" s="13" t="s">
        <v>2735</v>
      </c>
    </row>
    <row r="20" spans="1:9" s="13" customFormat="1" ht="12.75" customHeight="1">
      <c r="A20" s="74">
        <v>89</v>
      </c>
      <c r="B20" s="75" t="s">
        <v>4435</v>
      </c>
      <c r="C20" s="59" t="s">
        <v>4436</v>
      </c>
      <c r="D20" s="13" t="s">
        <v>1469</v>
      </c>
      <c r="E20" s="13" t="s">
        <v>4189</v>
      </c>
      <c r="F20" s="13" t="s">
        <v>1009</v>
      </c>
      <c r="G20" s="13" t="s">
        <v>2735</v>
      </c>
      <c r="H20" s="13" t="s">
        <v>2735</v>
      </c>
      <c r="I20" s="13" t="s">
        <v>2735</v>
      </c>
    </row>
    <row r="21" spans="1:9" s="13" customFormat="1" ht="12.75" customHeight="1">
      <c r="A21" s="74">
        <v>96</v>
      </c>
      <c r="B21" s="75" t="s">
        <v>4437</v>
      </c>
      <c r="C21" s="59" t="s">
        <v>4438</v>
      </c>
      <c r="D21" s="13" t="s">
        <v>1469</v>
      </c>
      <c r="E21" s="13" t="s">
        <v>4189</v>
      </c>
      <c r="F21" s="13" t="s">
        <v>1009</v>
      </c>
      <c r="G21" s="13" t="s">
        <v>2735</v>
      </c>
      <c r="H21" s="13" t="s">
        <v>2735</v>
      </c>
      <c r="I21" s="13" t="s">
        <v>2735</v>
      </c>
    </row>
    <row r="22" spans="1:9" s="13" customFormat="1" ht="12.75" customHeight="1">
      <c r="A22" s="74">
        <v>11</v>
      </c>
      <c r="B22" s="75" t="s">
        <v>4439</v>
      </c>
      <c r="C22" s="59" t="s">
        <v>4440</v>
      </c>
      <c r="D22" s="13" t="s">
        <v>1469</v>
      </c>
      <c r="E22" s="13" t="s">
        <v>1470</v>
      </c>
      <c r="F22" s="13" t="s">
        <v>1009</v>
      </c>
      <c r="G22" s="13" t="s">
        <v>2735</v>
      </c>
      <c r="H22" s="13" t="s">
        <v>2735</v>
      </c>
      <c r="I22" s="13" t="s">
        <v>2735</v>
      </c>
    </row>
    <row r="23" spans="1:9" s="13" customFormat="1" ht="12.75" customHeight="1">
      <c r="A23" s="74">
        <v>32</v>
      </c>
      <c r="B23" s="75" t="s">
        <v>4441</v>
      </c>
      <c r="C23" s="59" t="s">
        <v>4442</v>
      </c>
      <c r="D23" s="13" t="s">
        <v>1469</v>
      </c>
      <c r="E23" s="13" t="s">
        <v>1470</v>
      </c>
      <c r="F23" s="13" t="s">
        <v>1009</v>
      </c>
      <c r="G23" s="13" t="s">
        <v>2735</v>
      </c>
      <c r="H23" s="13" t="s">
        <v>2735</v>
      </c>
      <c r="I23" s="13" t="s">
        <v>2735</v>
      </c>
    </row>
    <row r="24" spans="1:9" s="13" customFormat="1" ht="12.75" customHeight="1">
      <c r="A24" s="74">
        <v>33</v>
      </c>
      <c r="B24" s="75" t="s">
        <v>4443</v>
      </c>
      <c r="C24" s="59" t="s">
        <v>4444</v>
      </c>
      <c r="D24" s="13" t="s">
        <v>1469</v>
      </c>
      <c r="E24" s="13" t="s">
        <v>1470</v>
      </c>
      <c r="F24" s="13" t="s">
        <v>1009</v>
      </c>
      <c r="G24" s="13" t="s">
        <v>2735</v>
      </c>
      <c r="H24" s="13" t="s">
        <v>2735</v>
      </c>
      <c r="I24" s="13" t="s">
        <v>2735</v>
      </c>
    </row>
    <row r="25" spans="1:9" s="13" customFormat="1" ht="12.75" customHeight="1">
      <c r="A25" s="74">
        <v>49</v>
      </c>
      <c r="B25" s="75" t="s">
        <v>4445</v>
      </c>
      <c r="C25" s="59" t="s">
        <v>4446</v>
      </c>
      <c r="D25" s="13" t="s">
        <v>1469</v>
      </c>
      <c r="E25" s="13" t="s">
        <v>1470</v>
      </c>
      <c r="F25" s="13" t="s">
        <v>1009</v>
      </c>
      <c r="G25" s="13" t="s">
        <v>2735</v>
      </c>
      <c r="H25" s="13" t="s">
        <v>2735</v>
      </c>
      <c r="I25" s="13" t="s">
        <v>2735</v>
      </c>
    </row>
    <row r="26" spans="1:9" s="13" customFormat="1" ht="12.75" customHeight="1">
      <c r="A26" s="74">
        <v>51</v>
      </c>
      <c r="B26" s="75" t="s">
        <v>4447</v>
      </c>
      <c r="C26" s="59" t="s">
        <v>4448</v>
      </c>
      <c r="D26" s="13" t="s">
        <v>1469</v>
      </c>
      <c r="E26" s="13" t="s">
        <v>1470</v>
      </c>
      <c r="F26" s="13" t="s">
        <v>1009</v>
      </c>
      <c r="G26" s="13" t="s">
        <v>2735</v>
      </c>
      <c r="H26" s="13" t="s">
        <v>2735</v>
      </c>
      <c r="I26" s="13" t="s">
        <v>2735</v>
      </c>
    </row>
    <row r="27" spans="1:9" s="13" customFormat="1" ht="12.75" customHeight="1">
      <c r="A27" s="74">
        <v>52</v>
      </c>
      <c r="B27" s="75" t="s">
        <v>4449</v>
      </c>
      <c r="C27" s="59" t="s">
        <v>4450</v>
      </c>
      <c r="D27" s="13" t="s">
        <v>1469</v>
      </c>
      <c r="E27" s="13" t="s">
        <v>1470</v>
      </c>
      <c r="F27" s="13" t="s">
        <v>1009</v>
      </c>
      <c r="G27" s="13" t="s">
        <v>2735</v>
      </c>
      <c r="H27" s="13" t="s">
        <v>2735</v>
      </c>
      <c r="I27" s="13" t="s">
        <v>2735</v>
      </c>
    </row>
    <row r="28" spans="1:9" s="13" customFormat="1" ht="12.75" customHeight="1">
      <c r="A28" s="74">
        <v>69</v>
      </c>
      <c r="B28" s="75" t="s">
        <v>4451</v>
      </c>
      <c r="C28" s="59" t="s">
        <v>4452</v>
      </c>
      <c r="D28" s="13" t="s">
        <v>1469</v>
      </c>
      <c r="E28" s="13" t="s">
        <v>1470</v>
      </c>
      <c r="F28" s="13" t="s">
        <v>1009</v>
      </c>
      <c r="G28" s="13" t="s">
        <v>2735</v>
      </c>
      <c r="H28" s="13" t="s">
        <v>2735</v>
      </c>
      <c r="I28" s="13" t="s">
        <v>2735</v>
      </c>
    </row>
    <row r="29" spans="1:9" s="13" customFormat="1" ht="12.75" customHeight="1">
      <c r="A29" s="74">
        <v>77</v>
      </c>
      <c r="B29" s="75" t="s">
        <v>4453</v>
      </c>
      <c r="C29" s="59" t="s">
        <v>4454</v>
      </c>
      <c r="D29" s="13" t="s">
        <v>1469</v>
      </c>
      <c r="E29" s="13" t="s">
        <v>1470</v>
      </c>
      <c r="F29" s="13" t="s">
        <v>1009</v>
      </c>
      <c r="G29" s="13" t="s">
        <v>2735</v>
      </c>
      <c r="H29" s="13" t="s">
        <v>2735</v>
      </c>
      <c r="I29" s="13" t="s">
        <v>2735</v>
      </c>
    </row>
    <row r="30" spans="1:9" s="13" customFormat="1" ht="12.75" customHeight="1">
      <c r="A30" s="74">
        <v>78</v>
      </c>
      <c r="B30" s="75" t="s">
        <v>4455</v>
      </c>
      <c r="C30" s="59" t="s">
        <v>4456</v>
      </c>
      <c r="D30" s="13" t="s">
        <v>1469</v>
      </c>
      <c r="E30" s="13" t="s">
        <v>1470</v>
      </c>
      <c r="F30" s="13" t="s">
        <v>1009</v>
      </c>
      <c r="G30" s="13" t="s">
        <v>2735</v>
      </c>
      <c r="H30" s="13" t="s">
        <v>2735</v>
      </c>
      <c r="I30" s="13" t="s">
        <v>2735</v>
      </c>
    </row>
    <row r="31" spans="1:9" s="13" customFormat="1" ht="12.75" customHeight="1">
      <c r="A31" s="74">
        <v>84</v>
      </c>
      <c r="B31" s="75" t="s">
        <v>1787</v>
      </c>
      <c r="C31" s="59" t="s">
        <v>4457</v>
      </c>
      <c r="D31" s="13" t="s">
        <v>1469</v>
      </c>
      <c r="E31" s="13" t="s">
        <v>1470</v>
      </c>
      <c r="F31" s="13" t="s">
        <v>1009</v>
      </c>
      <c r="G31" s="13" t="s">
        <v>2735</v>
      </c>
      <c r="H31" s="13" t="s">
        <v>2735</v>
      </c>
      <c r="I31" s="13" t="s">
        <v>2735</v>
      </c>
    </row>
    <row r="32" spans="1:9" s="13" customFormat="1" ht="12.75" customHeight="1">
      <c r="A32" s="74">
        <v>92</v>
      </c>
      <c r="B32" s="75" t="s">
        <v>4458</v>
      </c>
      <c r="C32" s="59" t="s">
        <v>4459</v>
      </c>
      <c r="D32" s="13" t="s">
        <v>1469</v>
      </c>
      <c r="E32" s="13" t="s">
        <v>1470</v>
      </c>
      <c r="F32" s="13" t="s">
        <v>1009</v>
      </c>
      <c r="G32" s="13" t="s">
        <v>2735</v>
      </c>
      <c r="H32" s="13" t="s">
        <v>2735</v>
      </c>
      <c r="I32" s="13" t="s">
        <v>2735</v>
      </c>
    </row>
    <row r="33" spans="1:9" s="13" customFormat="1" ht="12.75" customHeight="1">
      <c r="A33" s="76">
        <v>93</v>
      </c>
      <c r="B33" s="75" t="s">
        <v>4460</v>
      </c>
      <c r="C33" s="59" t="s">
        <v>4461</v>
      </c>
      <c r="D33" s="13" t="s">
        <v>1469</v>
      </c>
      <c r="E33" s="13" t="s">
        <v>1470</v>
      </c>
      <c r="F33" s="13" t="s">
        <v>1009</v>
      </c>
      <c r="G33" s="13" t="s">
        <v>2735</v>
      </c>
      <c r="H33" s="13" t="s">
        <v>2735</v>
      </c>
      <c r="I33" s="13" t="s">
        <v>2735</v>
      </c>
    </row>
    <row r="34" spans="1:9" s="13" customFormat="1" ht="12.75" customHeight="1">
      <c r="A34" s="74">
        <v>94</v>
      </c>
      <c r="B34" s="75" t="s">
        <v>4462</v>
      </c>
      <c r="C34" s="59" t="s">
        <v>4463</v>
      </c>
      <c r="D34" s="13" t="s">
        <v>1469</v>
      </c>
      <c r="E34" s="13" t="s">
        <v>1470</v>
      </c>
      <c r="F34" s="13" t="s">
        <v>1009</v>
      </c>
      <c r="G34" s="13" t="s">
        <v>2735</v>
      </c>
      <c r="H34" s="13" t="s">
        <v>2735</v>
      </c>
      <c r="I34" s="13" t="s">
        <v>2735</v>
      </c>
    </row>
    <row r="35" spans="1:9" s="13" customFormat="1" ht="12.75" customHeight="1">
      <c r="A35" s="74">
        <v>95</v>
      </c>
      <c r="B35" s="75" t="s">
        <v>4464</v>
      </c>
      <c r="C35" s="59" t="s">
        <v>4465</v>
      </c>
      <c r="D35" s="13" t="s">
        <v>1469</v>
      </c>
      <c r="E35" s="13" t="s">
        <v>1470</v>
      </c>
      <c r="F35" s="13" t="s">
        <v>1009</v>
      </c>
      <c r="G35" s="13" t="s">
        <v>2735</v>
      </c>
      <c r="H35" s="13" t="s">
        <v>2735</v>
      </c>
      <c r="I35" s="13" t="s">
        <v>2735</v>
      </c>
    </row>
    <row r="36" spans="1:9" s="13" customFormat="1" ht="12.75" customHeight="1">
      <c r="A36" s="74">
        <v>97</v>
      </c>
      <c r="B36" s="75" t="s">
        <v>4466</v>
      </c>
      <c r="C36" s="59" t="s">
        <v>4467</v>
      </c>
      <c r="D36" s="13" t="s">
        <v>1469</v>
      </c>
      <c r="E36" s="13" t="s">
        <v>1470</v>
      </c>
      <c r="F36" s="13" t="s">
        <v>1009</v>
      </c>
      <c r="G36" s="13" t="s">
        <v>2735</v>
      </c>
      <c r="H36" s="13" t="s">
        <v>2735</v>
      </c>
      <c r="I36" s="13" t="s">
        <v>2735</v>
      </c>
    </row>
    <row r="37" spans="1:9" s="13" customFormat="1" ht="12.75" customHeight="1">
      <c r="A37" s="74">
        <v>104</v>
      </c>
      <c r="B37" s="75" t="s">
        <v>4468</v>
      </c>
      <c r="C37" s="59" t="s">
        <v>4469</v>
      </c>
      <c r="D37" s="13" t="s">
        <v>1469</v>
      </c>
      <c r="E37" s="13" t="s">
        <v>1470</v>
      </c>
      <c r="F37" s="13" t="s">
        <v>1009</v>
      </c>
      <c r="G37" s="13" t="s">
        <v>2735</v>
      </c>
      <c r="H37" s="13" t="s">
        <v>2735</v>
      </c>
      <c r="I37" s="13" t="s">
        <v>2735</v>
      </c>
    </row>
    <row r="38" spans="1:9" s="13" customFormat="1" ht="12.75" customHeight="1">
      <c r="A38" s="74">
        <v>105</v>
      </c>
      <c r="B38" s="75" t="s">
        <v>4470</v>
      </c>
      <c r="C38" s="59" t="s">
        <v>4471</v>
      </c>
      <c r="D38" s="13" t="s">
        <v>1469</v>
      </c>
      <c r="E38" s="13" t="s">
        <v>1470</v>
      </c>
      <c r="F38" s="13" t="s">
        <v>1009</v>
      </c>
      <c r="G38" s="13" t="s">
        <v>2735</v>
      </c>
      <c r="H38" s="13" t="s">
        <v>2735</v>
      </c>
      <c r="I38" s="13" t="s">
        <v>2735</v>
      </c>
    </row>
    <row r="39" spans="1:9" s="13" customFormat="1" ht="12.75" customHeight="1">
      <c r="A39" s="74"/>
      <c r="B39" s="75"/>
      <c r="C39" s="60" t="s">
        <v>81</v>
      </c>
      <c r="D39" s="35">
        <f>COUNTA(D19:D38)</f>
        <v>20</v>
      </c>
    </row>
    <row r="40" spans="1:9" s="13" customFormat="1" ht="12.75" customHeight="1">
      <c r="A40" s="74"/>
      <c r="B40" s="75"/>
      <c r="C40" s="59"/>
    </row>
    <row r="41" spans="1:9" s="13" customFormat="1" ht="12.75" customHeight="1">
      <c r="A41" s="74">
        <v>10</v>
      </c>
      <c r="B41" s="75" t="s">
        <v>4472</v>
      </c>
      <c r="C41" s="59" t="s">
        <v>4473</v>
      </c>
      <c r="D41" s="13" t="s">
        <v>1469</v>
      </c>
      <c r="E41" s="13" t="s">
        <v>2735</v>
      </c>
      <c r="F41" s="13" t="s">
        <v>1009</v>
      </c>
      <c r="G41" s="13" t="s">
        <v>2735</v>
      </c>
      <c r="H41" s="13" t="s">
        <v>2735</v>
      </c>
      <c r="I41" s="13" t="s">
        <v>2735</v>
      </c>
    </row>
    <row r="42" spans="1:9" s="13" customFormat="1" ht="12.75" customHeight="1">
      <c r="A42" s="74">
        <v>26</v>
      </c>
      <c r="B42" s="75" t="s">
        <v>4474</v>
      </c>
      <c r="C42" s="59" t="s">
        <v>4475</v>
      </c>
      <c r="D42" s="13" t="s">
        <v>1469</v>
      </c>
      <c r="E42" s="13" t="s">
        <v>2735</v>
      </c>
      <c r="F42" s="13" t="s">
        <v>1009</v>
      </c>
      <c r="G42" s="13" t="s">
        <v>2735</v>
      </c>
      <c r="H42" s="13" t="s">
        <v>2735</v>
      </c>
      <c r="I42" s="13" t="s">
        <v>2735</v>
      </c>
    </row>
    <row r="43" spans="1:9" s="13" customFormat="1" ht="12.75" customHeight="1">
      <c r="A43" s="74"/>
      <c r="B43" s="75"/>
      <c r="C43" s="60" t="s">
        <v>88</v>
      </c>
      <c r="D43" s="35">
        <f>COUNTA(D41:D42)+D39</f>
        <v>22</v>
      </c>
    </row>
    <row r="44" spans="1:9" s="13" customFormat="1" ht="12.75" customHeight="1">
      <c r="A44" s="74"/>
      <c r="B44" s="75"/>
      <c r="C44" s="59"/>
    </row>
    <row r="45" spans="1:9" s="13" customFormat="1" ht="12.75" customHeight="1">
      <c r="A45" s="76">
        <v>57</v>
      </c>
      <c r="B45" s="75" t="s">
        <v>4476</v>
      </c>
      <c r="C45" s="59" t="s">
        <v>4477</v>
      </c>
      <c r="D45" s="13" t="s">
        <v>1514</v>
      </c>
      <c r="E45" s="13" t="s">
        <v>2735</v>
      </c>
      <c r="F45" s="13" t="s">
        <v>1009</v>
      </c>
      <c r="G45" s="13" t="s">
        <v>2735</v>
      </c>
      <c r="H45" s="13" t="s">
        <v>2735</v>
      </c>
      <c r="I45" s="13" t="s">
        <v>2735</v>
      </c>
    </row>
    <row r="46" spans="1:9" s="13" customFormat="1" ht="12.75" customHeight="1">
      <c r="A46" s="76"/>
      <c r="B46" s="75"/>
      <c r="C46" s="60" t="s">
        <v>95</v>
      </c>
      <c r="D46" s="35">
        <f>COUNTA(D45)</f>
        <v>1</v>
      </c>
    </row>
    <row r="47" spans="1:9" s="13" customFormat="1" ht="12.75" customHeight="1">
      <c r="A47" s="76"/>
      <c r="B47" s="75"/>
      <c r="C47" s="59"/>
    </row>
    <row r="48" spans="1:9" s="13" customFormat="1" ht="12.75" customHeight="1">
      <c r="A48" s="74">
        <v>72</v>
      </c>
      <c r="B48" s="75" t="s">
        <v>4478</v>
      </c>
      <c r="C48" s="59" t="s">
        <v>4479</v>
      </c>
      <c r="D48" s="13" t="s">
        <v>1517</v>
      </c>
      <c r="E48" s="13" t="s">
        <v>2735</v>
      </c>
      <c r="F48" s="13" t="s">
        <v>1009</v>
      </c>
      <c r="G48" s="13" t="s">
        <v>2735</v>
      </c>
      <c r="H48" s="13" t="s">
        <v>2735</v>
      </c>
      <c r="I48" s="13" t="s">
        <v>2735</v>
      </c>
    </row>
    <row r="49" spans="1:9" s="13" customFormat="1" ht="12.75" customHeight="1">
      <c r="A49" s="74">
        <v>71</v>
      </c>
      <c r="B49" s="75" t="s">
        <v>4478</v>
      </c>
      <c r="C49" s="59" t="s">
        <v>4480</v>
      </c>
      <c r="D49" s="13" t="s">
        <v>1527</v>
      </c>
      <c r="E49" s="13" t="s">
        <v>2735</v>
      </c>
      <c r="F49" s="13" t="s">
        <v>1010</v>
      </c>
      <c r="G49" s="13" t="s">
        <v>2735</v>
      </c>
      <c r="H49" s="13" t="s">
        <v>2735</v>
      </c>
      <c r="I49" s="13" t="s">
        <v>2735</v>
      </c>
    </row>
    <row r="50" spans="1:9" s="13" customFormat="1" ht="12.75" customHeight="1">
      <c r="A50" s="76">
        <v>7</v>
      </c>
      <c r="B50" s="75" t="s">
        <v>1508</v>
      </c>
      <c r="C50" s="59" t="s">
        <v>4481</v>
      </c>
      <c r="D50" s="13" t="s">
        <v>1527</v>
      </c>
      <c r="E50" s="13" t="s">
        <v>2735</v>
      </c>
      <c r="F50" s="13" t="s">
        <v>1009</v>
      </c>
      <c r="G50" s="13" t="s">
        <v>2735</v>
      </c>
      <c r="H50" s="13" t="s">
        <v>2735</v>
      </c>
      <c r="I50" s="13" t="s">
        <v>2735</v>
      </c>
    </row>
    <row r="51" spans="1:9" s="13" customFormat="1" ht="12.75" customHeight="1">
      <c r="A51" s="76">
        <v>8</v>
      </c>
      <c r="B51" s="75" t="s">
        <v>4482</v>
      </c>
      <c r="C51" s="59" t="s">
        <v>4483</v>
      </c>
      <c r="D51" s="13" t="s">
        <v>1527</v>
      </c>
      <c r="E51" s="13" t="s">
        <v>2735</v>
      </c>
      <c r="F51" s="13" t="s">
        <v>1009</v>
      </c>
      <c r="G51" s="13" t="s">
        <v>2735</v>
      </c>
      <c r="H51" s="13" t="s">
        <v>2735</v>
      </c>
      <c r="I51" s="13" t="s">
        <v>2735</v>
      </c>
    </row>
    <row r="52" spans="1:9" s="13" customFormat="1" ht="12.75" customHeight="1">
      <c r="A52" s="74">
        <v>25</v>
      </c>
      <c r="B52" s="75" t="s">
        <v>4484</v>
      </c>
      <c r="C52" s="59" t="s">
        <v>4485</v>
      </c>
      <c r="D52" s="13" t="s">
        <v>1527</v>
      </c>
      <c r="E52" s="13" t="s">
        <v>2735</v>
      </c>
      <c r="F52" s="13" t="s">
        <v>1009</v>
      </c>
      <c r="G52" s="13" t="s">
        <v>2735</v>
      </c>
      <c r="H52" s="13" t="s">
        <v>2735</v>
      </c>
      <c r="I52" s="13" t="s">
        <v>2735</v>
      </c>
    </row>
    <row r="53" spans="1:9" s="13" customFormat="1" ht="12.75" customHeight="1">
      <c r="A53" s="74">
        <v>47</v>
      </c>
      <c r="B53" s="75" t="s">
        <v>4486</v>
      </c>
      <c r="C53" s="59" t="s">
        <v>4487</v>
      </c>
      <c r="D53" s="13" t="s">
        <v>1527</v>
      </c>
      <c r="E53" s="13" t="s">
        <v>2735</v>
      </c>
      <c r="F53" s="13" t="s">
        <v>1009</v>
      </c>
      <c r="G53" s="13" t="s">
        <v>2735</v>
      </c>
      <c r="H53" s="13" t="s">
        <v>2735</v>
      </c>
      <c r="I53" s="13" t="s">
        <v>2735</v>
      </c>
    </row>
    <row r="54" spans="1:9" s="13" customFormat="1" ht="12.75" customHeight="1">
      <c r="A54" s="74">
        <v>54</v>
      </c>
      <c r="B54" s="75" t="s">
        <v>4488</v>
      </c>
      <c r="C54" s="59" t="s">
        <v>4489</v>
      </c>
      <c r="D54" s="13" t="s">
        <v>1527</v>
      </c>
      <c r="E54" s="13" t="s">
        <v>2735</v>
      </c>
      <c r="F54" s="13" t="s">
        <v>1009</v>
      </c>
      <c r="G54" s="13" t="s">
        <v>2735</v>
      </c>
      <c r="H54" s="13" t="s">
        <v>2735</v>
      </c>
      <c r="I54" s="13" t="s">
        <v>2735</v>
      </c>
    </row>
    <row r="55" spans="1:9" s="13" customFormat="1" ht="12.75" customHeight="1">
      <c r="A55" s="74">
        <v>73</v>
      </c>
      <c r="B55" s="75" t="s">
        <v>4490</v>
      </c>
      <c r="C55" s="59" t="s">
        <v>4491</v>
      </c>
      <c r="D55" s="13" t="s">
        <v>1527</v>
      </c>
      <c r="E55" s="13" t="s">
        <v>2735</v>
      </c>
      <c r="F55" s="13" t="s">
        <v>1009</v>
      </c>
      <c r="G55" s="13" t="s">
        <v>2735</v>
      </c>
      <c r="H55" s="13" t="s">
        <v>2735</v>
      </c>
      <c r="I55" s="13" t="s">
        <v>2735</v>
      </c>
    </row>
    <row r="56" spans="1:9" s="13" customFormat="1" ht="12.75" customHeight="1">
      <c r="A56" s="74">
        <v>81</v>
      </c>
      <c r="B56" s="75" t="s">
        <v>4492</v>
      </c>
      <c r="C56" s="59" t="s">
        <v>4493</v>
      </c>
      <c r="D56" s="13" t="s">
        <v>1527</v>
      </c>
      <c r="E56" s="13" t="s">
        <v>2735</v>
      </c>
      <c r="F56" s="13" t="s">
        <v>1009</v>
      </c>
      <c r="G56" s="13" t="s">
        <v>2735</v>
      </c>
      <c r="H56" s="13" t="s">
        <v>2735</v>
      </c>
      <c r="I56" s="13" t="s">
        <v>2735</v>
      </c>
    </row>
    <row r="57" spans="1:9" s="13" customFormat="1" ht="12.75" customHeight="1">
      <c r="A57" s="74"/>
      <c r="B57" s="75"/>
      <c r="C57" s="60" t="s">
        <v>95</v>
      </c>
      <c r="D57" s="35">
        <f>COUNTA(D48:D56)</f>
        <v>9</v>
      </c>
    </row>
    <row r="58" spans="1:9" s="13" customFormat="1" ht="12.75" customHeight="1">
      <c r="A58" s="74"/>
      <c r="B58" s="75"/>
      <c r="C58" s="59"/>
    </row>
    <row r="59" spans="1:9" s="13" customFormat="1" ht="12.75" customHeight="1">
      <c r="A59" s="76">
        <v>2</v>
      </c>
      <c r="B59" s="75" t="s">
        <v>4494</v>
      </c>
      <c r="C59" s="59" t="s">
        <v>4495</v>
      </c>
      <c r="D59" s="13" t="s">
        <v>1473</v>
      </c>
      <c r="E59" s="13" t="s">
        <v>2735</v>
      </c>
      <c r="F59" s="13" t="s">
        <v>1009</v>
      </c>
      <c r="G59" s="13" t="s">
        <v>2735</v>
      </c>
      <c r="H59" s="13" t="s">
        <v>2735</v>
      </c>
      <c r="I59" s="13" t="s">
        <v>2735</v>
      </c>
    </row>
    <row r="60" spans="1:9" s="13" customFormat="1" ht="12.75" customHeight="1">
      <c r="A60" s="76">
        <v>3</v>
      </c>
      <c r="B60" s="75" t="s">
        <v>4496</v>
      </c>
      <c r="C60" s="59" t="s">
        <v>4497</v>
      </c>
      <c r="D60" s="13" t="s">
        <v>1473</v>
      </c>
      <c r="E60" s="13" t="s">
        <v>2735</v>
      </c>
      <c r="F60" s="13" t="s">
        <v>1009</v>
      </c>
      <c r="G60" s="13" t="s">
        <v>2735</v>
      </c>
      <c r="H60" s="13" t="s">
        <v>2735</v>
      </c>
      <c r="I60" s="13" t="s">
        <v>2735</v>
      </c>
    </row>
    <row r="61" spans="1:9" s="13" customFormat="1" ht="12.75" customHeight="1">
      <c r="A61" s="76">
        <v>4</v>
      </c>
      <c r="B61" s="75" t="s">
        <v>4498</v>
      </c>
      <c r="C61" s="59" t="s">
        <v>4499</v>
      </c>
      <c r="D61" s="13" t="s">
        <v>1473</v>
      </c>
      <c r="E61" s="13" t="s">
        <v>2735</v>
      </c>
      <c r="F61" s="13" t="s">
        <v>1009</v>
      </c>
      <c r="G61" s="13" t="s">
        <v>2735</v>
      </c>
      <c r="H61" s="13" t="s">
        <v>2735</v>
      </c>
      <c r="I61" s="13" t="s">
        <v>2735</v>
      </c>
    </row>
    <row r="62" spans="1:9" s="13" customFormat="1" ht="12.75" customHeight="1">
      <c r="A62" s="76">
        <v>5</v>
      </c>
      <c r="B62" s="75" t="s">
        <v>2721</v>
      </c>
      <c r="C62" s="59" t="s">
        <v>4500</v>
      </c>
      <c r="D62" s="13" t="s">
        <v>1473</v>
      </c>
      <c r="E62" s="13" t="s">
        <v>2735</v>
      </c>
      <c r="F62" s="13" t="s">
        <v>1009</v>
      </c>
      <c r="G62" s="13" t="s">
        <v>2735</v>
      </c>
      <c r="H62" s="13" t="s">
        <v>2735</v>
      </c>
      <c r="I62" s="13" t="s">
        <v>2735</v>
      </c>
    </row>
    <row r="63" spans="1:9" s="13" customFormat="1" ht="12.75" customHeight="1">
      <c r="A63" s="76">
        <v>6</v>
      </c>
      <c r="B63" s="75" t="s">
        <v>4501</v>
      </c>
      <c r="C63" s="59" t="s">
        <v>4502</v>
      </c>
      <c r="D63" s="13" t="s">
        <v>1473</v>
      </c>
      <c r="E63" s="13" t="s">
        <v>2735</v>
      </c>
      <c r="F63" s="13" t="s">
        <v>1009</v>
      </c>
      <c r="G63" s="13" t="s">
        <v>2735</v>
      </c>
      <c r="H63" s="13" t="s">
        <v>2735</v>
      </c>
      <c r="I63" s="13" t="s">
        <v>2735</v>
      </c>
    </row>
    <row r="64" spans="1:9" s="13" customFormat="1" ht="12.75" customHeight="1">
      <c r="A64" s="74">
        <v>12</v>
      </c>
      <c r="B64" s="75" t="s">
        <v>4503</v>
      </c>
      <c r="C64" s="59" t="s">
        <v>4504</v>
      </c>
      <c r="D64" s="13" t="s">
        <v>1473</v>
      </c>
      <c r="E64" s="13" t="s">
        <v>2735</v>
      </c>
      <c r="F64" s="13" t="s">
        <v>1009</v>
      </c>
      <c r="G64" s="13" t="s">
        <v>2735</v>
      </c>
      <c r="H64" s="13" t="s">
        <v>2735</v>
      </c>
      <c r="I64" s="13" t="s">
        <v>2735</v>
      </c>
    </row>
    <row r="65" spans="1:9" s="13" customFormat="1" ht="12.75" customHeight="1">
      <c r="A65" s="74">
        <v>13</v>
      </c>
      <c r="B65" s="75" t="s">
        <v>4505</v>
      </c>
      <c r="C65" s="59" t="s">
        <v>4506</v>
      </c>
      <c r="D65" s="13" t="s">
        <v>1473</v>
      </c>
      <c r="E65" s="13" t="s">
        <v>2735</v>
      </c>
      <c r="F65" s="13" t="s">
        <v>1009</v>
      </c>
      <c r="G65" s="13" t="s">
        <v>2735</v>
      </c>
      <c r="H65" s="13" t="s">
        <v>2735</v>
      </c>
      <c r="I65" s="13" t="s">
        <v>2735</v>
      </c>
    </row>
    <row r="66" spans="1:9" s="13" customFormat="1" ht="12.75" customHeight="1">
      <c r="A66" s="74">
        <v>15</v>
      </c>
      <c r="B66" s="75" t="s">
        <v>4507</v>
      </c>
      <c r="C66" s="59" t="s">
        <v>4508</v>
      </c>
      <c r="D66" s="13" t="s">
        <v>1473</v>
      </c>
      <c r="E66" s="13" t="s">
        <v>2735</v>
      </c>
      <c r="F66" s="13" t="s">
        <v>1009</v>
      </c>
      <c r="G66" s="13" t="s">
        <v>2735</v>
      </c>
      <c r="H66" s="13" t="s">
        <v>2735</v>
      </c>
      <c r="I66" s="13" t="s">
        <v>2735</v>
      </c>
    </row>
    <row r="67" spans="1:9" s="13" customFormat="1" ht="12.75" customHeight="1">
      <c r="A67" s="74">
        <v>16</v>
      </c>
      <c r="B67" s="75" t="s">
        <v>4509</v>
      </c>
      <c r="C67" s="59" t="s">
        <v>4510</v>
      </c>
      <c r="D67" s="13" t="s">
        <v>1473</v>
      </c>
      <c r="E67" s="13" t="s">
        <v>2735</v>
      </c>
      <c r="F67" s="13" t="s">
        <v>1009</v>
      </c>
      <c r="G67" s="13" t="s">
        <v>2735</v>
      </c>
      <c r="H67" s="13" t="s">
        <v>2735</v>
      </c>
      <c r="I67" s="13" t="s">
        <v>2735</v>
      </c>
    </row>
    <row r="68" spans="1:9" s="13" customFormat="1" ht="12.75" customHeight="1">
      <c r="A68" s="76">
        <v>17</v>
      </c>
      <c r="B68" s="75" t="s">
        <v>4511</v>
      </c>
      <c r="C68" s="59" t="s">
        <v>4512</v>
      </c>
      <c r="D68" s="13" t="s">
        <v>1473</v>
      </c>
      <c r="E68" s="13" t="s">
        <v>2735</v>
      </c>
      <c r="F68" s="13" t="s">
        <v>1009</v>
      </c>
      <c r="G68" s="13" t="s">
        <v>2735</v>
      </c>
      <c r="H68" s="13" t="s">
        <v>2735</v>
      </c>
      <c r="I68" s="13" t="s">
        <v>2735</v>
      </c>
    </row>
    <row r="69" spans="1:9" s="13" customFormat="1" ht="12.75" customHeight="1">
      <c r="A69" s="74">
        <v>18</v>
      </c>
      <c r="B69" s="75" t="s">
        <v>4513</v>
      </c>
      <c r="C69" s="59" t="s">
        <v>4514</v>
      </c>
      <c r="D69" s="13" t="s">
        <v>1473</v>
      </c>
      <c r="E69" s="13" t="s">
        <v>2735</v>
      </c>
      <c r="F69" s="13" t="s">
        <v>1009</v>
      </c>
      <c r="G69" s="13" t="s">
        <v>2735</v>
      </c>
      <c r="H69" s="13" t="s">
        <v>2735</v>
      </c>
      <c r="I69" s="13" t="s">
        <v>2735</v>
      </c>
    </row>
    <row r="70" spans="1:9" s="13" customFormat="1" ht="12.75" customHeight="1">
      <c r="A70" s="74">
        <v>20</v>
      </c>
      <c r="B70" s="75" t="s">
        <v>4515</v>
      </c>
      <c r="C70" s="59" t="s">
        <v>4516</v>
      </c>
      <c r="D70" s="13" t="s">
        <v>1473</v>
      </c>
      <c r="E70" s="13" t="s">
        <v>2735</v>
      </c>
      <c r="F70" s="13" t="s">
        <v>1009</v>
      </c>
      <c r="G70" s="13" t="s">
        <v>2735</v>
      </c>
      <c r="H70" s="13" t="s">
        <v>2735</v>
      </c>
      <c r="I70" s="13" t="s">
        <v>2735</v>
      </c>
    </row>
    <row r="71" spans="1:9" s="13" customFormat="1" ht="12.75" customHeight="1">
      <c r="A71" s="74">
        <v>21</v>
      </c>
      <c r="B71" s="75" t="s">
        <v>4517</v>
      </c>
      <c r="C71" s="59" t="s">
        <v>4518</v>
      </c>
      <c r="D71" s="13" t="s">
        <v>1473</v>
      </c>
      <c r="E71" s="13" t="s">
        <v>2735</v>
      </c>
      <c r="F71" s="13" t="s">
        <v>1009</v>
      </c>
      <c r="G71" s="13" t="s">
        <v>2735</v>
      </c>
      <c r="H71" s="13" t="s">
        <v>2735</v>
      </c>
      <c r="I71" s="13" t="s">
        <v>2735</v>
      </c>
    </row>
    <row r="72" spans="1:9" s="13" customFormat="1" ht="12.75" customHeight="1">
      <c r="A72" s="74">
        <v>22</v>
      </c>
      <c r="B72" s="75" t="s">
        <v>4519</v>
      </c>
      <c r="C72" s="59" t="s">
        <v>4520</v>
      </c>
      <c r="D72" s="13" t="s">
        <v>1473</v>
      </c>
      <c r="E72" s="13" t="s">
        <v>2735</v>
      </c>
      <c r="F72" s="13" t="s">
        <v>1009</v>
      </c>
      <c r="G72" s="13" t="s">
        <v>2735</v>
      </c>
      <c r="H72" s="13" t="s">
        <v>2735</v>
      </c>
      <c r="I72" s="13" t="s">
        <v>2735</v>
      </c>
    </row>
    <row r="73" spans="1:9" s="13" customFormat="1" ht="12.75" customHeight="1">
      <c r="A73" s="74">
        <v>24</v>
      </c>
      <c r="B73" s="75" t="s">
        <v>4521</v>
      </c>
      <c r="C73" s="59" t="s">
        <v>4522</v>
      </c>
      <c r="D73" s="13" t="s">
        <v>1473</v>
      </c>
      <c r="E73" s="13" t="s">
        <v>2735</v>
      </c>
      <c r="F73" s="13" t="s">
        <v>1009</v>
      </c>
      <c r="G73" s="13" t="s">
        <v>2735</v>
      </c>
      <c r="H73" s="13" t="s">
        <v>2735</v>
      </c>
      <c r="I73" s="13" t="s">
        <v>2735</v>
      </c>
    </row>
    <row r="74" spans="1:9" s="13" customFormat="1" ht="12.75" customHeight="1">
      <c r="A74" s="74">
        <v>27</v>
      </c>
      <c r="B74" s="75" t="s">
        <v>4523</v>
      </c>
      <c r="C74" s="59" t="s">
        <v>4524</v>
      </c>
      <c r="D74" s="13" t="s">
        <v>1473</v>
      </c>
      <c r="E74" s="13" t="s">
        <v>2735</v>
      </c>
      <c r="F74" s="13" t="s">
        <v>1009</v>
      </c>
      <c r="G74" s="13" t="s">
        <v>2735</v>
      </c>
      <c r="H74" s="13" t="s">
        <v>2735</v>
      </c>
      <c r="I74" s="13" t="s">
        <v>2735</v>
      </c>
    </row>
    <row r="75" spans="1:9" s="13" customFormat="1" ht="12.75" customHeight="1">
      <c r="A75" s="74">
        <v>30</v>
      </c>
      <c r="B75" s="75" t="s">
        <v>4525</v>
      </c>
      <c r="C75" s="59" t="s">
        <v>4526</v>
      </c>
      <c r="D75" s="13" t="s">
        <v>1473</v>
      </c>
      <c r="E75" s="13" t="s">
        <v>2735</v>
      </c>
      <c r="F75" s="13" t="s">
        <v>1009</v>
      </c>
      <c r="G75" s="13" t="s">
        <v>2735</v>
      </c>
      <c r="H75" s="13" t="s">
        <v>2735</v>
      </c>
      <c r="I75" s="13" t="s">
        <v>2735</v>
      </c>
    </row>
    <row r="76" spans="1:9" s="13" customFormat="1" ht="12.75" customHeight="1">
      <c r="A76" s="74">
        <v>31</v>
      </c>
      <c r="B76" s="75" t="s">
        <v>4527</v>
      </c>
      <c r="C76" s="59" t="s">
        <v>4528</v>
      </c>
      <c r="D76" s="13" t="s">
        <v>1473</v>
      </c>
      <c r="E76" s="13" t="s">
        <v>2735</v>
      </c>
      <c r="F76" s="13" t="s">
        <v>1009</v>
      </c>
      <c r="G76" s="13" t="s">
        <v>2735</v>
      </c>
      <c r="H76" s="13" t="s">
        <v>2735</v>
      </c>
      <c r="I76" s="13" t="s">
        <v>2735</v>
      </c>
    </row>
    <row r="77" spans="1:9" s="13" customFormat="1" ht="12.75" customHeight="1">
      <c r="A77" s="74">
        <v>34</v>
      </c>
      <c r="B77" s="75" t="s">
        <v>4246</v>
      </c>
      <c r="C77" s="59" t="s">
        <v>4529</v>
      </c>
      <c r="D77" s="13" t="s">
        <v>1473</v>
      </c>
      <c r="E77" s="13" t="s">
        <v>2735</v>
      </c>
      <c r="F77" s="13" t="s">
        <v>1009</v>
      </c>
      <c r="G77" s="13" t="s">
        <v>2735</v>
      </c>
      <c r="H77" s="13" t="s">
        <v>2735</v>
      </c>
      <c r="I77" s="13" t="s">
        <v>2735</v>
      </c>
    </row>
    <row r="78" spans="1:9" s="13" customFormat="1" ht="12.75" customHeight="1">
      <c r="A78" s="74">
        <v>36</v>
      </c>
      <c r="B78" s="75" t="s">
        <v>4530</v>
      </c>
      <c r="C78" s="59" t="s">
        <v>4531</v>
      </c>
      <c r="D78" s="13" t="s">
        <v>1473</v>
      </c>
      <c r="E78" s="13" t="s">
        <v>2735</v>
      </c>
      <c r="F78" s="13" t="s">
        <v>1009</v>
      </c>
      <c r="G78" s="13" t="s">
        <v>2735</v>
      </c>
      <c r="H78" s="13" t="s">
        <v>2735</v>
      </c>
      <c r="I78" s="13" t="s">
        <v>2735</v>
      </c>
    </row>
    <row r="79" spans="1:9" s="13" customFormat="1" ht="12.75" customHeight="1">
      <c r="A79" s="74">
        <v>37</v>
      </c>
      <c r="B79" s="75" t="s">
        <v>4532</v>
      </c>
      <c r="C79" s="59" t="s">
        <v>4533</v>
      </c>
      <c r="D79" s="13" t="s">
        <v>1473</v>
      </c>
      <c r="E79" s="13" t="s">
        <v>2735</v>
      </c>
      <c r="F79" s="13" t="s">
        <v>1009</v>
      </c>
      <c r="G79" s="13" t="s">
        <v>2735</v>
      </c>
      <c r="H79" s="13" t="s">
        <v>2735</v>
      </c>
      <c r="I79" s="13" t="s">
        <v>2735</v>
      </c>
    </row>
    <row r="80" spans="1:9" s="13" customFormat="1" ht="12.75" customHeight="1">
      <c r="A80" s="74">
        <v>39</v>
      </c>
      <c r="B80" s="75" t="s">
        <v>4534</v>
      </c>
      <c r="C80" s="59" t="s">
        <v>4535</v>
      </c>
      <c r="D80" s="13" t="s">
        <v>1473</v>
      </c>
      <c r="E80" s="13" t="s">
        <v>2735</v>
      </c>
      <c r="F80" s="13" t="s">
        <v>1009</v>
      </c>
      <c r="G80" s="13" t="s">
        <v>2735</v>
      </c>
      <c r="H80" s="13" t="s">
        <v>2735</v>
      </c>
      <c r="I80" s="13" t="s">
        <v>2735</v>
      </c>
    </row>
    <row r="81" spans="1:9" s="13" customFormat="1" ht="12.75" customHeight="1">
      <c r="A81" s="74">
        <v>40</v>
      </c>
      <c r="B81" s="75" t="s">
        <v>4536</v>
      </c>
      <c r="C81" s="59" t="s">
        <v>4537</v>
      </c>
      <c r="D81" s="13" t="s">
        <v>1473</v>
      </c>
      <c r="E81" s="13" t="s">
        <v>2735</v>
      </c>
      <c r="F81" s="13" t="s">
        <v>1009</v>
      </c>
      <c r="G81" s="13" t="s">
        <v>2735</v>
      </c>
      <c r="H81" s="13" t="s">
        <v>2735</v>
      </c>
      <c r="I81" s="13" t="s">
        <v>2735</v>
      </c>
    </row>
    <row r="82" spans="1:9" s="13" customFormat="1" ht="12.75" customHeight="1">
      <c r="A82" s="74">
        <v>44</v>
      </c>
      <c r="B82" s="75" t="s">
        <v>4538</v>
      </c>
      <c r="C82" s="59" t="s">
        <v>4539</v>
      </c>
      <c r="D82" s="13" t="s">
        <v>1473</v>
      </c>
      <c r="E82" s="13" t="s">
        <v>2735</v>
      </c>
      <c r="F82" s="13" t="s">
        <v>1009</v>
      </c>
      <c r="G82" s="13" t="s">
        <v>2735</v>
      </c>
      <c r="H82" s="13" t="s">
        <v>2735</v>
      </c>
      <c r="I82" s="13" t="s">
        <v>2735</v>
      </c>
    </row>
    <row r="83" spans="1:9" s="13" customFormat="1" ht="12.75" customHeight="1">
      <c r="A83" s="74">
        <v>45</v>
      </c>
      <c r="B83" s="75" t="s">
        <v>4540</v>
      </c>
      <c r="C83" s="59" t="s">
        <v>4541</v>
      </c>
      <c r="D83" s="13" t="s">
        <v>1473</v>
      </c>
      <c r="E83" s="13" t="s">
        <v>2735</v>
      </c>
      <c r="F83" s="13" t="s">
        <v>1009</v>
      </c>
      <c r="G83" s="13" t="s">
        <v>2735</v>
      </c>
      <c r="H83" s="13" t="s">
        <v>2735</v>
      </c>
      <c r="I83" s="13" t="s">
        <v>2735</v>
      </c>
    </row>
    <row r="84" spans="1:9" s="13" customFormat="1" ht="12.75" customHeight="1">
      <c r="A84" s="74">
        <v>50</v>
      </c>
      <c r="B84" s="75" t="s">
        <v>4542</v>
      </c>
      <c r="C84" s="59" t="s">
        <v>4543</v>
      </c>
      <c r="D84" s="13" t="s">
        <v>1473</v>
      </c>
      <c r="E84" s="13" t="s">
        <v>2735</v>
      </c>
      <c r="F84" s="13" t="s">
        <v>1009</v>
      </c>
      <c r="G84" s="13" t="s">
        <v>2735</v>
      </c>
      <c r="H84" s="13" t="s">
        <v>2735</v>
      </c>
      <c r="I84" s="13" t="s">
        <v>2735</v>
      </c>
    </row>
    <row r="85" spans="1:9" s="13" customFormat="1" ht="12.75" customHeight="1">
      <c r="A85" s="74">
        <v>53</v>
      </c>
      <c r="B85" s="75" t="s">
        <v>4544</v>
      </c>
      <c r="C85" s="59" t="s">
        <v>4545</v>
      </c>
      <c r="D85" s="13" t="s">
        <v>1473</v>
      </c>
      <c r="E85" s="13" t="s">
        <v>2735</v>
      </c>
      <c r="F85" s="13" t="s">
        <v>1009</v>
      </c>
      <c r="G85" s="13" t="s">
        <v>2735</v>
      </c>
      <c r="H85" s="13" t="s">
        <v>2735</v>
      </c>
      <c r="I85" s="13" t="s">
        <v>2735</v>
      </c>
    </row>
    <row r="86" spans="1:9" s="13" customFormat="1" ht="12.75" customHeight="1">
      <c r="A86" s="74">
        <v>55</v>
      </c>
      <c r="B86" s="75" t="s">
        <v>4546</v>
      </c>
      <c r="C86" s="59" t="s">
        <v>4547</v>
      </c>
      <c r="D86" s="13" t="s">
        <v>1473</v>
      </c>
      <c r="E86" s="13" t="s">
        <v>2735</v>
      </c>
      <c r="F86" s="13" t="s">
        <v>1009</v>
      </c>
      <c r="G86" s="13" t="s">
        <v>2735</v>
      </c>
      <c r="H86" s="13" t="s">
        <v>2735</v>
      </c>
      <c r="I86" s="13" t="s">
        <v>2735</v>
      </c>
    </row>
    <row r="87" spans="1:9" s="13" customFormat="1" ht="12.75" customHeight="1">
      <c r="A87" s="74">
        <v>56</v>
      </c>
      <c r="B87" s="75" t="s">
        <v>4548</v>
      </c>
      <c r="C87" s="59" t="s">
        <v>4549</v>
      </c>
      <c r="D87" s="13" t="s">
        <v>1473</v>
      </c>
      <c r="E87" s="13" t="s">
        <v>2735</v>
      </c>
      <c r="F87" s="13" t="s">
        <v>1009</v>
      </c>
      <c r="G87" s="13" t="s">
        <v>2735</v>
      </c>
      <c r="H87" s="13" t="s">
        <v>2735</v>
      </c>
      <c r="I87" s="13" t="s">
        <v>2735</v>
      </c>
    </row>
    <row r="88" spans="1:9" s="13" customFormat="1" ht="12.75" customHeight="1">
      <c r="A88" s="74">
        <v>61</v>
      </c>
      <c r="B88" s="75" t="s">
        <v>4550</v>
      </c>
      <c r="C88" s="59" t="s">
        <v>4551</v>
      </c>
      <c r="D88" s="13" t="s">
        <v>1473</v>
      </c>
      <c r="E88" s="13" t="s">
        <v>2735</v>
      </c>
      <c r="F88" s="13" t="s">
        <v>1009</v>
      </c>
      <c r="G88" s="13" t="s">
        <v>2735</v>
      </c>
      <c r="H88" s="13" t="s">
        <v>2735</v>
      </c>
      <c r="I88" s="13" t="s">
        <v>2735</v>
      </c>
    </row>
    <row r="89" spans="1:9" s="13" customFormat="1" ht="12.75" customHeight="1">
      <c r="A89" s="76">
        <v>62</v>
      </c>
      <c r="B89" s="75" t="s">
        <v>4552</v>
      </c>
      <c r="C89" s="59" t="s">
        <v>4553</v>
      </c>
      <c r="D89" s="13" t="s">
        <v>1473</v>
      </c>
      <c r="E89" s="13" t="s">
        <v>2735</v>
      </c>
      <c r="F89" s="13" t="s">
        <v>1009</v>
      </c>
      <c r="G89" s="13" t="s">
        <v>2735</v>
      </c>
      <c r="H89" s="13" t="s">
        <v>2735</v>
      </c>
      <c r="I89" s="13" t="s">
        <v>2735</v>
      </c>
    </row>
    <row r="90" spans="1:9" s="13" customFormat="1" ht="12.75" customHeight="1">
      <c r="A90" s="74">
        <v>63</v>
      </c>
      <c r="B90" s="75" t="s">
        <v>4554</v>
      </c>
      <c r="C90" s="59" t="s">
        <v>4555</v>
      </c>
      <c r="D90" s="13" t="s">
        <v>1473</v>
      </c>
      <c r="E90" s="13" t="s">
        <v>2735</v>
      </c>
      <c r="F90" s="13" t="s">
        <v>1009</v>
      </c>
      <c r="G90" s="13" t="s">
        <v>2735</v>
      </c>
      <c r="H90" s="13" t="s">
        <v>2735</v>
      </c>
      <c r="I90" s="13" t="s">
        <v>2735</v>
      </c>
    </row>
    <row r="91" spans="1:9" s="13" customFormat="1" ht="12.75" customHeight="1">
      <c r="A91" s="74">
        <v>75</v>
      </c>
      <c r="B91" s="75" t="s">
        <v>4556</v>
      </c>
      <c r="C91" s="59" t="s">
        <v>4557</v>
      </c>
      <c r="D91" s="13" t="s">
        <v>1473</v>
      </c>
      <c r="E91" s="13" t="s">
        <v>2735</v>
      </c>
      <c r="F91" s="13" t="s">
        <v>1009</v>
      </c>
      <c r="G91" s="13" t="s">
        <v>2735</v>
      </c>
      <c r="H91" s="13" t="s">
        <v>2735</v>
      </c>
      <c r="I91" s="13" t="s">
        <v>2735</v>
      </c>
    </row>
    <row r="92" spans="1:9" s="13" customFormat="1" ht="12.75" customHeight="1">
      <c r="A92" s="74">
        <v>76</v>
      </c>
      <c r="B92" s="75" t="s">
        <v>4558</v>
      </c>
      <c r="C92" s="59" t="s">
        <v>4559</v>
      </c>
      <c r="D92" s="13" t="s">
        <v>1473</v>
      </c>
      <c r="E92" s="13" t="s">
        <v>2735</v>
      </c>
      <c r="F92" s="13" t="s">
        <v>1009</v>
      </c>
      <c r="G92" s="13" t="s">
        <v>2735</v>
      </c>
      <c r="H92" s="13" t="s">
        <v>2735</v>
      </c>
      <c r="I92" s="13" t="s">
        <v>2735</v>
      </c>
    </row>
    <row r="93" spans="1:9" s="13" customFormat="1" ht="12.75" customHeight="1">
      <c r="A93" s="74">
        <v>79</v>
      </c>
      <c r="B93" s="75" t="s">
        <v>4560</v>
      </c>
      <c r="C93" s="59" t="s">
        <v>4561</v>
      </c>
      <c r="D93" s="13" t="s">
        <v>1473</v>
      </c>
      <c r="E93" s="13" t="s">
        <v>2735</v>
      </c>
      <c r="F93" s="13" t="s">
        <v>1009</v>
      </c>
      <c r="G93" s="13" t="s">
        <v>2735</v>
      </c>
      <c r="H93" s="13" t="s">
        <v>2735</v>
      </c>
      <c r="I93" s="13" t="s">
        <v>2735</v>
      </c>
    </row>
    <row r="94" spans="1:9" s="13" customFormat="1" ht="12.75" customHeight="1">
      <c r="A94" s="74">
        <v>82</v>
      </c>
      <c r="B94" s="75" t="s">
        <v>4562</v>
      </c>
      <c r="C94" s="59" t="s">
        <v>4563</v>
      </c>
      <c r="D94" s="13" t="s">
        <v>1473</v>
      </c>
      <c r="E94" s="13" t="s">
        <v>2735</v>
      </c>
      <c r="F94" s="13" t="s">
        <v>1009</v>
      </c>
      <c r="G94" s="13" t="s">
        <v>2735</v>
      </c>
      <c r="H94" s="13" t="s">
        <v>2735</v>
      </c>
      <c r="I94" s="13" t="s">
        <v>2735</v>
      </c>
    </row>
    <row r="95" spans="1:9" s="13" customFormat="1" ht="12.75" customHeight="1">
      <c r="A95" s="74">
        <v>85</v>
      </c>
      <c r="B95" s="75" t="s">
        <v>4564</v>
      </c>
      <c r="C95" s="59" t="s">
        <v>4565</v>
      </c>
      <c r="D95" s="13" t="s">
        <v>1473</v>
      </c>
      <c r="E95" s="13" t="s">
        <v>2735</v>
      </c>
      <c r="F95" s="13" t="s">
        <v>1009</v>
      </c>
      <c r="G95" s="13" t="s">
        <v>2735</v>
      </c>
      <c r="H95" s="13" t="s">
        <v>2735</v>
      </c>
      <c r="I95" s="13" t="s">
        <v>2735</v>
      </c>
    </row>
    <row r="96" spans="1:9" s="13" customFormat="1" ht="12.75" customHeight="1">
      <c r="A96" s="74">
        <v>91</v>
      </c>
      <c r="B96" s="75" t="s">
        <v>4566</v>
      </c>
      <c r="C96" s="59" t="s">
        <v>4567</v>
      </c>
      <c r="D96" s="13" t="s">
        <v>1473</v>
      </c>
      <c r="E96" s="13" t="s">
        <v>2735</v>
      </c>
      <c r="F96" s="13" t="s">
        <v>1009</v>
      </c>
      <c r="G96" s="13" t="s">
        <v>2735</v>
      </c>
      <c r="H96" s="13" t="s">
        <v>2735</v>
      </c>
      <c r="I96" s="13" t="s">
        <v>2735</v>
      </c>
    </row>
    <row r="97" spans="1:9" s="13" customFormat="1" ht="12.75" customHeight="1">
      <c r="A97" s="74">
        <v>100</v>
      </c>
      <c r="B97" s="75" t="s">
        <v>4568</v>
      </c>
      <c r="C97" s="59" t="s">
        <v>4569</v>
      </c>
      <c r="D97" s="13" t="s">
        <v>1473</v>
      </c>
      <c r="E97" s="13" t="s">
        <v>2735</v>
      </c>
      <c r="F97" s="13" t="s">
        <v>1009</v>
      </c>
      <c r="G97" s="13" t="s">
        <v>2735</v>
      </c>
      <c r="H97" s="13" t="s">
        <v>2735</v>
      </c>
      <c r="I97" s="13" t="s">
        <v>2735</v>
      </c>
    </row>
    <row r="98" spans="1:9" s="13" customFormat="1" ht="12.75" customHeight="1">
      <c r="A98" s="74">
        <v>101</v>
      </c>
      <c r="B98" s="75" t="s">
        <v>4570</v>
      </c>
      <c r="C98" s="59" t="s">
        <v>4571</v>
      </c>
      <c r="D98" s="13" t="s">
        <v>1473</v>
      </c>
      <c r="E98" s="13" t="s">
        <v>2735</v>
      </c>
      <c r="F98" s="13" t="s">
        <v>1009</v>
      </c>
      <c r="G98" s="13" t="s">
        <v>2735</v>
      </c>
      <c r="H98" s="13" t="s">
        <v>2735</v>
      </c>
      <c r="I98" s="13" t="s">
        <v>2735</v>
      </c>
    </row>
    <row r="99" spans="1:9" s="13" customFormat="1" ht="12.75" customHeight="1">
      <c r="A99" s="74">
        <v>102</v>
      </c>
      <c r="B99" s="75" t="s">
        <v>4572</v>
      </c>
      <c r="C99" s="59" t="s">
        <v>4573</v>
      </c>
      <c r="D99" s="13" t="s">
        <v>1473</v>
      </c>
      <c r="E99" s="13" t="s">
        <v>2735</v>
      </c>
      <c r="F99" s="13" t="s">
        <v>1009</v>
      </c>
      <c r="G99" s="13" t="s">
        <v>2735</v>
      </c>
      <c r="H99" s="13" t="s">
        <v>2735</v>
      </c>
      <c r="I99" s="13" t="s">
        <v>2735</v>
      </c>
    </row>
    <row r="100" spans="1:9" s="13" customFormat="1" ht="12.75" customHeight="1">
      <c r="A100" s="74">
        <v>66</v>
      </c>
      <c r="B100" s="75" t="s">
        <v>4574</v>
      </c>
      <c r="C100" s="59" t="s">
        <v>4575</v>
      </c>
      <c r="D100" s="13" t="s">
        <v>4302</v>
      </c>
      <c r="E100" s="13" t="s">
        <v>2735</v>
      </c>
      <c r="F100" s="13" t="s">
        <v>1009</v>
      </c>
      <c r="G100" s="13" t="s">
        <v>2735</v>
      </c>
      <c r="H100" s="13" t="s">
        <v>2735</v>
      </c>
      <c r="I100" s="13" t="s">
        <v>2735</v>
      </c>
    </row>
    <row r="101" spans="1:9" s="13" customFormat="1" ht="12.75" customHeight="1">
      <c r="A101" s="74">
        <v>86</v>
      </c>
      <c r="B101" s="75" t="s">
        <v>4576</v>
      </c>
      <c r="C101" s="59" t="s">
        <v>4577</v>
      </c>
      <c r="D101" s="13" t="s">
        <v>4302</v>
      </c>
      <c r="E101" s="13" t="s">
        <v>2735</v>
      </c>
      <c r="F101" s="13" t="s">
        <v>1009</v>
      </c>
      <c r="G101" s="13" t="s">
        <v>2735</v>
      </c>
      <c r="H101" s="13" t="s">
        <v>2735</v>
      </c>
      <c r="I101" s="13" t="s">
        <v>2735</v>
      </c>
    </row>
    <row r="102" spans="1:9" s="13" customFormat="1" ht="12.75" customHeight="1">
      <c r="A102" s="74">
        <v>88</v>
      </c>
      <c r="B102" s="75" t="s">
        <v>4578</v>
      </c>
      <c r="C102" s="59" t="s">
        <v>4579</v>
      </c>
      <c r="D102" s="13" t="s">
        <v>4302</v>
      </c>
      <c r="E102" s="13" t="s">
        <v>2735</v>
      </c>
      <c r="F102" s="13" t="s">
        <v>1009</v>
      </c>
      <c r="G102" s="13" t="s">
        <v>2735</v>
      </c>
      <c r="H102" s="13" t="s">
        <v>2735</v>
      </c>
      <c r="I102" s="13" t="s">
        <v>2735</v>
      </c>
    </row>
    <row r="103" spans="1:9" s="13" customFormat="1" ht="12.75" customHeight="1">
      <c r="A103" s="74">
        <v>87</v>
      </c>
      <c r="B103" s="75" t="s">
        <v>4580</v>
      </c>
      <c r="C103" s="59" t="s">
        <v>4581</v>
      </c>
      <c r="D103" s="13" t="s">
        <v>4420</v>
      </c>
      <c r="E103" s="13" t="s">
        <v>2735</v>
      </c>
      <c r="F103" s="13" t="s">
        <v>1009</v>
      </c>
      <c r="G103" s="13" t="s">
        <v>2735</v>
      </c>
      <c r="H103" s="13" t="s">
        <v>2735</v>
      </c>
      <c r="I103" s="13" t="s">
        <v>2735</v>
      </c>
    </row>
    <row r="104" spans="1:9" s="13" customFormat="1" ht="12.75" customHeight="1">
      <c r="C104" s="60" t="s">
        <v>95</v>
      </c>
      <c r="D104" s="35">
        <f>COUNTA(D59:D103)</f>
        <v>45</v>
      </c>
    </row>
    <row r="105" spans="1:9" s="13" customFormat="1" ht="12.75" customHeight="1">
      <c r="C105" s="59"/>
    </row>
    <row r="106" spans="1:9" s="13" customFormat="1" ht="42">
      <c r="A106" s="73" t="s">
        <v>35</v>
      </c>
      <c r="B106" s="73" t="s">
        <v>36</v>
      </c>
      <c r="C106" s="73" t="s">
        <v>37</v>
      </c>
      <c r="D106" s="73" t="s">
        <v>38</v>
      </c>
      <c r="E106" s="73" t="s">
        <v>39</v>
      </c>
      <c r="F106" s="73" t="s">
        <v>40</v>
      </c>
      <c r="G106" s="73" t="s">
        <v>41</v>
      </c>
      <c r="H106" s="77" t="s">
        <v>42</v>
      </c>
      <c r="I106" s="73" t="s">
        <v>1466</v>
      </c>
    </row>
    <row r="107" spans="1:9" s="13" customFormat="1" ht="12.75" customHeight="1">
      <c r="A107" s="76">
        <v>1</v>
      </c>
      <c r="B107" s="75" t="s">
        <v>4582</v>
      </c>
      <c r="C107" s="59" t="s">
        <v>4583</v>
      </c>
      <c r="D107" s="13" t="s">
        <v>2735</v>
      </c>
      <c r="E107" s="13" t="s">
        <v>2735</v>
      </c>
      <c r="F107" s="13" t="s">
        <v>1010</v>
      </c>
      <c r="G107" s="13" t="s">
        <v>1514</v>
      </c>
      <c r="H107" s="13" t="s">
        <v>1527</v>
      </c>
      <c r="I107" s="13" t="s">
        <v>1009</v>
      </c>
    </row>
    <row r="108" spans="1:9" s="13" customFormat="1" ht="12.75" customHeight="1">
      <c r="A108" s="76">
        <v>42</v>
      </c>
      <c r="B108" s="75" t="s">
        <v>4584</v>
      </c>
      <c r="C108" s="59" t="s">
        <v>4585</v>
      </c>
      <c r="D108" s="13" t="s">
        <v>2735</v>
      </c>
      <c r="E108" s="13" t="s">
        <v>2735</v>
      </c>
      <c r="F108" s="13" t="s">
        <v>1010</v>
      </c>
      <c r="G108" s="13" t="s">
        <v>1524</v>
      </c>
      <c r="H108" s="13" t="s">
        <v>1527</v>
      </c>
      <c r="I108" s="13" t="s">
        <v>1009</v>
      </c>
    </row>
    <row r="109" spans="1:9" s="13" customFormat="1" ht="12.75" customHeight="1">
      <c r="A109" s="74">
        <v>83</v>
      </c>
      <c r="B109" s="75" t="s">
        <v>4586</v>
      </c>
      <c r="C109" s="59" t="s">
        <v>4587</v>
      </c>
      <c r="D109" s="13" t="s">
        <v>2735</v>
      </c>
      <c r="E109" s="13" t="s">
        <v>2735</v>
      </c>
      <c r="F109" s="13" t="s">
        <v>1010</v>
      </c>
      <c r="G109" s="13" t="s">
        <v>1524</v>
      </c>
      <c r="H109" s="13" t="s">
        <v>1527</v>
      </c>
      <c r="I109" s="13" t="s">
        <v>1009</v>
      </c>
    </row>
    <row r="110" spans="1:9" s="13" customFormat="1" ht="12.75" customHeight="1">
      <c r="A110" s="76">
        <v>103</v>
      </c>
      <c r="B110" s="75" t="s">
        <v>4588</v>
      </c>
      <c r="C110" s="59" t="s">
        <v>4589</v>
      </c>
      <c r="D110" s="13" t="s">
        <v>2735</v>
      </c>
      <c r="E110" s="13" t="s">
        <v>2735</v>
      </c>
      <c r="F110" s="13" t="s">
        <v>1010</v>
      </c>
      <c r="G110" s="13" t="s">
        <v>1524</v>
      </c>
      <c r="H110" s="13" t="s">
        <v>1469</v>
      </c>
      <c r="I110" s="13" t="s">
        <v>1009</v>
      </c>
    </row>
    <row r="111" spans="1:9" s="13" customFormat="1" ht="12.75" customHeight="1">
      <c r="A111" s="74">
        <v>106</v>
      </c>
      <c r="B111" s="75" t="s">
        <v>4590</v>
      </c>
      <c r="C111" s="59" t="s">
        <v>4591</v>
      </c>
      <c r="D111" s="13" t="s">
        <v>2735</v>
      </c>
      <c r="E111" s="13" t="s">
        <v>2735</v>
      </c>
      <c r="F111" s="13" t="s">
        <v>1010</v>
      </c>
      <c r="G111" s="13" t="s">
        <v>1524</v>
      </c>
      <c r="H111" s="13" t="s">
        <v>1527</v>
      </c>
      <c r="I111" s="13" t="s">
        <v>1009</v>
      </c>
    </row>
    <row r="112" spans="1:9" s="13" customFormat="1" ht="12.75" customHeight="1">
      <c r="A112" s="74">
        <v>108</v>
      </c>
      <c r="B112" s="75" t="s">
        <v>4592</v>
      </c>
      <c r="C112" s="59" t="s">
        <v>4593</v>
      </c>
      <c r="D112" s="13" t="s">
        <v>2735</v>
      </c>
      <c r="E112" s="13" t="s">
        <v>2735</v>
      </c>
      <c r="F112" s="13" t="s">
        <v>1010</v>
      </c>
      <c r="G112" s="13" t="s">
        <v>1524</v>
      </c>
      <c r="H112" s="13" t="s">
        <v>1527</v>
      </c>
      <c r="I112" s="13" t="s">
        <v>1009</v>
      </c>
    </row>
    <row r="113" spans="3:6" s="13" customFormat="1" ht="12.75" customHeight="1">
      <c r="C113" s="59"/>
      <c r="E113" s="35" t="s">
        <v>95</v>
      </c>
      <c r="F113" s="35">
        <f>COUNTA(F107:F112)</f>
        <v>6</v>
      </c>
    </row>
  </sheetData>
  <hyperlinks>
    <hyperlink ref="A59" r:id="rId1" display="http://www.westlaw.com/Find/Default.wl?rs=dfa1.0&amp;vr=2.0&amp;DB=506&amp;FindType=Y&amp;SerialNum=1994197048"/>
    <hyperlink ref="A60" r:id="rId2" display="http://www.westlaw.com/Find/Default.wl?rs=dfa1.0&amp;vr=2.0&amp;DB=506&amp;FindType=Y&amp;SerialNum=1994197050"/>
    <hyperlink ref="A61" r:id="rId3" display="http://www.westlaw.com/Find/Default.wl?rs=dfa1.0&amp;vr=2.0&amp;DB=506&amp;FindType=Y&amp;SerialNum=1994197057"/>
    <hyperlink ref="A62" r:id="rId4" display="http://www.westlaw.com/Find/Default.wl?rs=dfa1.0&amp;vr=2.0&amp;DB=506&amp;FindType=Y&amp;SerialNum=1994196217"/>
    <hyperlink ref="A63" r:id="rId5" display="http://www.westlaw.com/Find/Default.wl?rs=dfa1.0&amp;vr=2.0&amp;DB=506&amp;FindType=Y&amp;SerialNum=1994195595"/>
    <hyperlink ref="A50" r:id="rId6" display="http://www.westlaw.com/Find/Default.wl?rs=dfa1.0&amp;vr=2.0&amp;DB=506&amp;FindType=Y&amp;SerialNum=1994188734"/>
    <hyperlink ref="A51" r:id="rId7" display="http://www.westlaw.com/Find/Default.wl?rs=dfa1.0&amp;vr=2.0&amp;DB=506&amp;FindType=Y&amp;SerialNum=1994182761"/>
    <hyperlink ref="A19" r:id="rId8" display="http://www.westlaw.com/Find/Default.wl?rs=dfa1.0&amp;vr=2.0&amp;DB=506&amp;FindType=Y&amp;SerialNum=1994182762"/>
    <hyperlink ref="A41" r:id="rId9" display="http://www.westlaw.com/Find/Default.wl?rs=dfa1.0&amp;vr=2.0&amp;DB=506&amp;FindType=Y&amp;SerialNum=1994170719"/>
    <hyperlink ref="A22" r:id="rId10" display="http://www.westlaw.com/Find/Default.wl?rs=dfa1.0&amp;vr=2.0&amp;DB=506&amp;FindType=Y&amp;SerialNum=1994165978"/>
    <hyperlink ref="A64" r:id="rId11" display="http://www.westlaw.com/Find/Default.wl?rs=dfa1.0&amp;vr=2.0&amp;DB=506&amp;FindType=Y&amp;SerialNum=1994155248"/>
    <hyperlink ref="A65" r:id="rId12" display="http://www.westlaw.com/Find/Default.wl?rs=dfa1.0&amp;vr=2.0&amp;DB=506&amp;FindType=Y&amp;SerialNum=1994152533"/>
    <hyperlink ref="A66" r:id="rId13" display="http://www.westlaw.com/Find/Default.wl?rs=dfa1.0&amp;vr=2.0&amp;DB=506&amp;FindType=Y&amp;SerialNum=1994143068"/>
    <hyperlink ref="A67" r:id="rId14" display="http://www.westlaw.com/Find/Default.wl?rs=dfa1.0&amp;vr=2.0&amp;DB=506&amp;FindType=Y&amp;SerialNum=1994143082"/>
    <hyperlink ref="A68" r:id="rId15" display="http://www.westlaw.com/Find/Default.wl?rs=dfa1.0&amp;vr=2.0&amp;DB=506&amp;FindType=Y&amp;SerialNum=1994142069"/>
    <hyperlink ref="A69" r:id="rId16" display="http://www.westlaw.com/Find/Default.wl?rs=dfa1.0&amp;vr=2.0&amp;DB=506&amp;FindType=Y&amp;SerialNum=1994139078"/>
    <hyperlink ref="A70" r:id="rId17" display="http://www.westlaw.com/Find/Default.wl?rs=dfa1.0&amp;vr=2.0&amp;DB=506&amp;FindType=Y&amp;SerialNum=1994136117"/>
    <hyperlink ref="A71" r:id="rId18" display="http://www.westlaw.com/Find/Default.wl?rs=dfa1.0&amp;vr=2.0&amp;DB=506&amp;FindType=Y&amp;SerialNum=1994136124"/>
    <hyperlink ref="A72" r:id="rId19" display="http://www.westlaw.com/Find/Default.wl?rs=dfa1.0&amp;vr=2.0&amp;DB=506&amp;FindType=Y&amp;SerialNum=1994135268"/>
    <hyperlink ref="A73" r:id="rId20" display="http://www.westlaw.com/Find/Default.wl?rs=dfa1.0&amp;vr=2.0&amp;DB=506&amp;FindType=Y&amp;SerialNum=1994132346"/>
    <hyperlink ref="A52" r:id="rId21" display="http://www.westlaw.com/Find/Default.wl?rs=dfa1.0&amp;vr=2.0&amp;DB=506&amp;FindType=Y&amp;SerialNum=1994131663"/>
    <hyperlink ref="A42" r:id="rId22" display="http://www.westlaw.com/Find/Default.wl?rs=dfa1.0&amp;vr=2.0&amp;DB=506&amp;FindType=Y&amp;SerialNum=1994129282"/>
    <hyperlink ref="A74" r:id="rId23" display="http://www.westlaw.com/Find/Default.wl?rs=dfa1.0&amp;vr=2.0&amp;DB=506&amp;FindType=Y&amp;SerialNum=1994129286"/>
    <hyperlink ref="A75" r:id="rId24" display="http://www.westlaw.com/Find/Default.wl?rs=dfa1.0&amp;vr=2.0&amp;DB=506&amp;FindType=Y&amp;SerialNum=1994121516"/>
    <hyperlink ref="A76" r:id="rId25" display="http://www.westlaw.com/Find/Default.wl?rs=dfa1.0&amp;vr=2.0&amp;DB=506&amp;FindType=Y&amp;SerialNum=1994116200"/>
    <hyperlink ref="A23" r:id="rId26" display="http://www.westlaw.com/Find/Default.wl?rs=dfa1.0&amp;vr=2.0&amp;DB=506&amp;FindType=Y&amp;SerialNum=1994113098"/>
    <hyperlink ref="A24" r:id="rId27" display="http://www.westlaw.com/Find/Default.wl?rs=dfa1.0&amp;vr=2.0&amp;DB=506&amp;FindType=Y&amp;SerialNum=1994112051"/>
    <hyperlink ref="A77" r:id="rId28" display="http://www.westlaw.com/Find/Default.wl?rs=dfa1.0&amp;vr=2.0&amp;DB=506&amp;FindType=Y&amp;SerialNum=1994109901"/>
    <hyperlink ref="A78" r:id="rId29" display="http://www.westlaw.com/Find/Default.wl?rs=dfa1.0&amp;vr=2.0&amp;DB=506&amp;FindType=Y&amp;SerialNum=1994098480"/>
    <hyperlink ref="A79" r:id="rId30" display="http://www.westlaw.com/Find/Default.wl?rs=dfa1.0&amp;vr=2.0&amp;DB=506&amp;FindType=Y&amp;SerialNum=1994098483"/>
    <hyperlink ref="A80" r:id="rId31" display="http://www.westlaw.com/Find/Default.wl?rs=dfa1.0&amp;vr=2.0&amp;DB=506&amp;FindType=Y&amp;SerialNum=1994097919"/>
    <hyperlink ref="A81" r:id="rId32" display="http://www.westlaw.com/Find/Default.wl?rs=dfa1.0&amp;vr=2.0&amp;DB=506&amp;FindType=Y&amp;SerialNum=1994096309"/>
    <hyperlink ref="A82" r:id="rId33" display="http://www.westlaw.com/Find/Default.wl?rs=dfa1.0&amp;vr=2.0&amp;DB=506&amp;FindType=Y&amp;SerialNum=1994084003"/>
    <hyperlink ref="A83" r:id="rId34" display="http://www.westlaw.com/Find/Default.wl?rs=dfa1.0&amp;vr=2.0&amp;DB=506&amp;FindType=Y&amp;SerialNum=1994084014"/>
    <hyperlink ref="A53" r:id="rId35" display="http://www.westlaw.com/Find/Default.wl?rs=dfa1.0&amp;vr=2.0&amp;DB=506&amp;FindType=Y&amp;SerialNum=1994077676"/>
    <hyperlink ref="A25" r:id="rId36" display="http://www.westlaw.com/Find/Default.wl?rs=dfa1.0&amp;vr=2.0&amp;DB=506&amp;FindType=Y&amp;SerialNum=1994065475"/>
    <hyperlink ref="A84" r:id="rId37" display="http://www.westlaw.com/Find/Default.wl?rs=dfa1.0&amp;vr=2.0&amp;DB=506&amp;FindType=Y&amp;SerialNum=1994065476"/>
    <hyperlink ref="A26" r:id="rId38" display="http://www.westlaw.com/Find/Default.wl?rs=dfa1.0&amp;vr=2.0&amp;DB=506&amp;FindType=Y&amp;SerialNum=1994065478"/>
    <hyperlink ref="A27" r:id="rId39" display="http://www.westlaw.com/Find/Default.wl?rs=dfa1.0&amp;vr=2.0&amp;DB=506&amp;FindType=Y&amp;SerialNum=1994064489"/>
    <hyperlink ref="A85" r:id="rId40" display="http://www.westlaw.com/Find/Default.wl?rs=dfa1.0&amp;vr=2.0&amp;DB=506&amp;FindType=Y&amp;SerialNum=1994064491"/>
    <hyperlink ref="A54" r:id="rId41" display="http://www.westlaw.com/Find/Default.wl?rs=dfa1.0&amp;vr=2.0&amp;DB=506&amp;FindType=Y&amp;SerialNum=1994065332"/>
    <hyperlink ref="A86" r:id="rId42" display="http://www.westlaw.com/Find/Default.wl?rs=dfa1.0&amp;vr=2.0&amp;DB=506&amp;FindType=Y&amp;SerialNum=1994141655"/>
    <hyperlink ref="A87" r:id="rId43" display="http://www.westlaw.com/Find/Default.wl?rs=dfa1.0&amp;vr=2.0&amp;DB=506&amp;FindType=Y&amp;SerialNum=1994062406"/>
    <hyperlink ref="A45" r:id="rId44" display="http://www.westlaw.com/Find/Default.wl?rs=dfa1.0&amp;vr=2.0&amp;DB=506&amp;FindType=Y&amp;SerialNum=1994062408"/>
    <hyperlink ref="A88" r:id="rId45" display="http://www.westlaw.com/Find/Default.wl?rs=dfa1.0&amp;vr=2.0&amp;DB=506&amp;FindType=Y&amp;SerialNum=1994055636"/>
    <hyperlink ref="A89" r:id="rId46" display="http://www.westlaw.com/Find/Default.wl?rs=dfa1.0&amp;vr=2.0&amp;DB=506&amp;FindType=Y&amp;SerialNum=1994054237"/>
    <hyperlink ref="A90" r:id="rId47" display="http://www.westlaw.com/Find/Default.wl?rs=dfa1.0&amp;vr=2.0&amp;DB=506&amp;FindType=Y&amp;SerialNum=1994054238"/>
    <hyperlink ref="A100" r:id="rId48" display="http://www.westlaw.com/Find/Default.wl?rs=dfa1.0&amp;vr=2.0&amp;DB=506&amp;FindType=Y&amp;SerialNum=1994041822"/>
    <hyperlink ref="A28" r:id="rId49" display="http://www.westlaw.com/Find/Default.wl?rs=dfa1.0&amp;vr=2.0&amp;DB=506&amp;FindType=Y&amp;SerialNum=1994028249"/>
    <hyperlink ref="A49" r:id="rId50" display="http://www.westlaw.com/Find/Default.wl?rs=dfa1.0&amp;vr=2.0&amp;DB=506&amp;FindType=Y&amp;SerialNum=1994024122"/>
    <hyperlink ref="A48" r:id="rId51" display="http://www.westlaw.com/Find/Default.wl?rs=dfa1.0&amp;vr=2.0&amp;DB=506&amp;FindType=Y&amp;SerialNum=1994024130"/>
    <hyperlink ref="A55" r:id="rId52" display="http://www.westlaw.com/Find/Default.wl?rs=dfa1.0&amp;vr=2.0&amp;DB=506&amp;FindType=Y&amp;SerialNum=1994022214"/>
    <hyperlink ref="A91" r:id="rId53" display="http://www.westlaw.com/Find/Default.wl?rs=dfa1.0&amp;vr=2.0&amp;DB=506&amp;FindType=Y&amp;SerialNum=1994019187"/>
    <hyperlink ref="A92" r:id="rId54" display="http://www.westlaw.com/Find/Default.wl?rs=dfa1.0&amp;vr=2.0&amp;DB=506&amp;FindType=Y&amp;SerialNum=1993241298"/>
    <hyperlink ref="A29" r:id="rId55" display="http://www.westlaw.com/Find/Default.wl?rs=dfa1.0&amp;vr=2.0&amp;DB=506&amp;FindType=Y&amp;SerialNum=1993238837"/>
    <hyperlink ref="A30" r:id="rId56" display="http://www.westlaw.com/Find/Default.wl?rs=dfa1.0&amp;vr=2.0&amp;DB=506&amp;FindType=Y&amp;SerialNum=1993237255"/>
    <hyperlink ref="A93" r:id="rId57" display="http://www.westlaw.com/Find/Default.wl?rs=dfa1.0&amp;vr=2.0&amp;DB=506&amp;FindType=Y&amp;SerialNum=1993235824"/>
    <hyperlink ref="A56" r:id="rId58" display="http://www.westlaw.com/Find/Default.wl?rs=dfa1.0&amp;vr=2.0&amp;DB=506&amp;FindType=Y&amp;SerialNum=1993233569"/>
    <hyperlink ref="A94" r:id="rId59" display="http://www.westlaw.com/Find/Default.wl?rs=dfa1.0&amp;vr=2.0&amp;DB=506&amp;FindType=Y&amp;SerialNum=1993234567"/>
    <hyperlink ref="A31" r:id="rId60" display="http://www.westlaw.com/Find/Default.wl?rs=dfa1.0&amp;vr=2.0&amp;DB=506&amp;FindType=Y&amp;SerialNum=1993230470"/>
    <hyperlink ref="A95" r:id="rId61" display="http://www.westlaw.com/Find/Default.wl?rs=dfa1.0&amp;vr=2.0&amp;DB=506&amp;FindType=Y&amp;SerialNum=1993226494"/>
    <hyperlink ref="A101" r:id="rId62" display="http://www.westlaw.com/Find/Default.wl?rs=dfa1.0&amp;vr=2.0&amp;DB=506&amp;FindType=Y&amp;SerialNum=1993225681"/>
    <hyperlink ref="A103" r:id="rId63" display="http://www.westlaw.com/Find/Default.wl?rs=dfa1.0&amp;vr=2.0&amp;DB=506&amp;FindType=Y&amp;SerialNum=1993225689"/>
    <hyperlink ref="A102" r:id="rId64" display="http://www.westlaw.com/Find/Default.wl?rs=dfa1.0&amp;vr=2.0&amp;DB=506&amp;FindType=Y&amp;SerialNum=1993225693"/>
    <hyperlink ref="A20" r:id="rId65" display="http://www.westlaw.com/Find/Default.wl?rs=dfa1.0&amp;vr=2.0&amp;DB=506&amp;FindType=Y&amp;SerialNum=1993226407"/>
    <hyperlink ref="A96" r:id="rId66" display="http://www.westlaw.com/Find/Default.wl?rs=dfa1.0&amp;vr=2.0&amp;DB=506&amp;FindType=Y&amp;SerialNum=1993217569"/>
    <hyperlink ref="A32" r:id="rId67" display="http://www.westlaw.com/Find/Default.wl?rs=dfa1.0&amp;vr=2.0&amp;DB=506&amp;FindType=Y&amp;SerialNum=1993215622"/>
    <hyperlink ref="A33" r:id="rId68" display="http://www.westlaw.com/Find/Default.wl?rs=dfa1.0&amp;vr=2.0&amp;DB=506&amp;FindType=Y&amp;SerialNum=1993213730"/>
    <hyperlink ref="A34" r:id="rId69" display="http://www.westlaw.com/Find/Default.wl?rs=dfa1.0&amp;vr=2.0&amp;DB=506&amp;FindType=Y&amp;SerialNum=1993213737"/>
    <hyperlink ref="A35" r:id="rId70" display="http://www.westlaw.com/Find/Default.wl?rs=dfa1.0&amp;vr=2.0&amp;DB=506&amp;FindType=Y&amp;SerialNum=1993213739"/>
    <hyperlink ref="A21" r:id="rId71" display="http://www.westlaw.com/Find/Default.wl?rs=dfa1.0&amp;vr=2.0&amp;DB=506&amp;FindType=Y&amp;SerialNum=1993212813"/>
    <hyperlink ref="A36" r:id="rId72" display="http://www.westlaw.com/Find/Default.wl?rs=dfa1.0&amp;vr=2.0&amp;DB=506&amp;FindType=Y&amp;SerialNum=1993212814"/>
    <hyperlink ref="A97" r:id="rId73" display="http://www.westlaw.com/Find/Default.wl?rs=dfa1.0&amp;vr=2.0&amp;DB=506&amp;FindType=Y&amp;SerialNum=1993198256"/>
    <hyperlink ref="A98" r:id="rId74" display="http://www.westlaw.com/Find/Default.wl?rs=dfa1.0&amp;vr=2.0&amp;DB=506&amp;FindType=Y&amp;SerialNum=1993197270"/>
    <hyperlink ref="A99" r:id="rId75" display="http://www.westlaw.com/Find/Default.wl?rs=dfa1.0&amp;vr=2.0&amp;DB=506&amp;FindType=Y&amp;SerialNum=1993197327"/>
    <hyperlink ref="A37" r:id="rId76" display="http://www.westlaw.com/Find/Default.wl?rs=dfa1.0&amp;vr=2.0&amp;DB=506&amp;FindType=Y&amp;SerialNum=1993192290"/>
    <hyperlink ref="A38" r:id="rId77" display="http://www.westlaw.com/Find/Default.wl?rs=dfa1.0&amp;vr=2.0&amp;DB=506&amp;FindType=Y&amp;SerialNum=1993192291"/>
    <hyperlink ref="A107" r:id="rId78" display="http://www.westlaw.com/Find/Default.wl?rs=dfa1.0&amp;vr=2.0&amp;DB=780&amp;FindType=Y&amp;SerialNum=1994113347"/>
    <hyperlink ref="A108" r:id="rId79" display="http://www.westlaw.com/Find/Default.wl?rs=dfa1.0&amp;vr=2.0&amp;DB=506&amp;FindType=Y&amp;SerialNum=1994078295"/>
    <hyperlink ref="A109" r:id="rId80" display="http://www.westlaw.com/Find/Default.wl?rs=dfa1.0&amp;vr=2.0&amp;DB=506&amp;FindType=Y&amp;SerialNum=1993230463"/>
    <hyperlink ref="A110" r:id="rId81" display="http://www.westlaw.com/Find/Default.wl?rs=dfa1.0&amp;vr=2.0&amp;DB=506&amp;FindType=Y&amp;SerialNum=1993196826"/>
    <hyperlink ref="A111" r:id="rId82" display="http://www.westlaw.com/Find/Default.wl?rs=dfa1.0&amp;vr=2.0&amp;DB=506&amp;FindType=Y&amp;SerialNum=1993193816"/>
    <hyperlink ref="A112" r:id="rId83" display="http://www.westlaw.com/Find/Default.wl?rs=dfa1.0&amp;vr=2.0&amp;DB=345&amp;FindType=Y&amp;SerialNum=1993221888"/>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85" zoomScaleNormal="85" zoomScalePageLayoutView="85" workbookViewId="0"/>
  </sheetViews>
  <sheetFormatPr baseColWidth="10" defaultColWidth="8.83203125" defaultRowHeight="14" x14ac:dyDescent="0"/>
  <cols>
    <col min="2" max="2" width="22.33203125" customWidth="1"/>
    <col min="3" max="3" width="12.1640625" bestFit="1" customWidth="1"/>
    <col min="4" max="4" width="9.83203125" bestFit="1" customWidth="1"/>
  </cols>
  <sheetData>
    <row r="1" spans="1:6">
      <c r="A1" s="11" t="s">
        <v>4432</v>
      </c>
      <c r="B1" s="12"/>
      <c r="C1" s="39">
        <v>34610</v>
      </c>
      <c r="D1" s="39">
        <v>34973</v>
      </c>
      <c r="E1" s="39"/>
      <c r="F1" s="39"/>
    </row>
    <row r="2" spans="1:6">
      <c r="A2" s="12"/>
      <c r="B2" s="12"/>
      <c r="C2" s="12"/>
    </row>
    <row r="3" spans="1:6">
      <c r="A3" s="12"/>
      <c r="B3" s="14" t="s">
        <v>24</v>
      </c>
      <c r="C3" s="15"/>
    </row>
    <row r="4" spans="1:6">
      <c r="A4" s="12"/>
      <c r="B4" s="16" t="s">
        <v>25</v>
      </c>
      <c r="C4" s="15">
        <f>D31</f>
        <v>10</v>
      </c>
    </row>
    <row r="5" spans="1:6" ht="25">
      <c r="A5" s="12"/>
      <c r="B5" s="16" t="s">
        <v>26</v>
      </c>
      <c r="C5" s="15">
        <f>D26</f>
        <v>7</v>
      </c>
    </row>
    <row r="6" spans="1:6" ht="25">
      <c r="A6" s="12"/>
      <c r="B6" s="16" t="s">
        <v>27</v>
      </c>
      <c r="C6" s="15">
        <v>0</v>
      </c>
    </row>
    <row r="7" spans="1:6">
      <c r="A7" s="12"/>
      <c r="B7" s="16" t="s">
        <v>28</v>
      </c>
      <c r="C7" s="15">
        <v>0</v>
      </c>
    </row>
    <row r="8" spans="1:6">
      <c r="A8" s="12"/>
      <c r="B8" s="16" t="s">
        <v>29</v>
      </c>
      <c r="C8" s="15">
        <f>D35</f>
        <v>2</v>
      </c>
    </row>
    <row r="9" spans="1:6">
      <c r="A9" s="12"/>
      <c r="B9" s="16" t="s">
        <v>30</v>
      </c>
      <c r="C9" s="15">
        <f>D39</f>
        <v>2</v>
      </c>
    </row>
    <row r="10" spans="1:6">
      <c r="A10" s="12"/>
      <c r="B10" s="16" t="s">
        <v>14</v>
      </c>
      <c r="C10" s="15">
        <v>0</v>
      </c>
    </row>
    <row r="11" spans="1:6">
      <c r="A11" s="12"/>
      <c r="B11" s="16" t="s">
        <v>15</v>
      </c>
      <c r="C11" s="15">
        <v>0</v>
      </c>
    </row>
    <row r="12" spans="1:6" ht="25">
      <c r="A12" s="12"/>
      <c r="B12" s="16" t="s">
        <v>31</v>
      </c>
      <c r="C12" s="15">
        <f>D74</f>
        <v>33</v>
      </c>
    </row>
    <row r="13" spans="1:6">
      <c r="A13" s="12"/>
      <c r="B13" s="16" t="s">
        <v>32</v>
      </c>
      <c r="C13" s="15">
        <f>D78</f>
        <v>2</v>
      </c>
    </row>
    <row r="14" spans="1:6" ht="25">
      <c r="A14" s="12"/>
      <c r="B14" s="16" t="s">
        <v>33</v>
      </c>
      <c r="C14" s="15">
        <v>0</v>
      </c>
    </row>
    <row r="15" spans="1:6">
      <c r="A15" s="12"/>
      <c r="B15" s="16" t="s">
        <v>4</v>
      </c>
      <c r="C15" s="17">
        <f>C4+C6+C7+C8+C9+C10+C11</f>
        <v>14</v>
      </c>
    </row>
    <row r="16" spans="1:6" ht="25">
      <c r="A16" s="12"/>
      <c r="B16" s="16" t="s">
        <v>34</v>
      </c>
      <c r="C16" s="15">
        <f>F85</f>
        <v>4</v>
      </c>
    </row>
    <row r="18" spans="1:9" s="13" customFormat="1" ht="42">
      <c r="A18" s="73" t="s">
        <v>35</v>
      </c>
      <c r="B18" s="73" t="s">
        <v>36</v>
      </c>
      <c r="C18" s="73" t="s">
        <v>37</v>
      </c>
      <c r="D18" s="73" t="s">
        <v>38</v>
      </c>
      <c r="E18" s="73" t="s">
        <v>39</v>
      </c>
      <c r="F18" s="73" t="s">
        <v>40</v>
      </c>
      <c r="G18" s="73" t="s">
        <v>41</v>
      </c>
      <c r="H18" s="73" t="s">
        <v>42</v>
      </c>
      <c r="I18" s="73" t="s">
        <v>1466</v>
      </c>
    </row>
    <row r="19" spans="1:9" s="13" customFormat="1" ht="12.75" customHeight="1">
      <c r="A19" s="74">
        <v>4</v>
      </c>
      <c r="B19" s="75" t="s">
        <v>4332</v>
      </c>
      <c r="C19" s="59" t="s">
        <v>4333</v>
      </c>
      <c r="D19" s="13" t="s">
        <v>1469</v>
      </c>
      <c r="E19" s="13" t="s">
        <v>1470</v>
      </c>
      <c r="F19" s="13" t="s">
        <v>1009</v>
      </c>
      <c r="G19" s="13" t="s">
        <v>2735</v>
      </c>
      <c r="H19" s="13" t="s">
        <v>2735</v>
      </c>
      <c r="I19" s="13" t="s">
        <v>2735</v>
      </c>
    </row>
    <row r="20" spans="1:9" s="13" customFormat="1" ht="12.75" customHeight="1">
      <c r="A20" s="74">
        <v>11</v>
      </c>
      <c r="B20" s="75" t="s">
        <v>4334</v>
      </c>
      <c r="C20" s="59" t="s">
        <v>4335</v>
      </c>
      <c r="D20" s="13" t="s">
        <v>1469</v>
      </c>
      <c r="E20" s="13" t="s">
        <v>1470</v>
      </c>
      <c r="F20" s="13" t="s">
        <v>1009</v>
      </c>
      <c r="G20" s="13" t="s">
        <v>2735</v>
      </c>
      <c r="H20" s="13" t="s">
        <v>2735</v>
      </c>
      <c r="I20" s="13" t="s">
        <v>2735</v>
      </c>
    </row>
    <row r="21" spans="1:9" s="13" customFormat="1" ht="12.75" customHeight="1">
      <c r="A21" s="74">
        <v>17</v>
      </c>
      <c r="B21" s="75" t="s">
        <v>4336</v>
      </c>
      <c r="C21" s="59" t="s">
        <v>4337</v>
      </c>
      <c r="D21" s="13" t="s">
        <v>1469</v>
      </c>
      <c r="E21" s="13" t="s">
        <v>1470</v>
      </c>
      <c r="F21" s="13" t="s">
        <v>1009</v>
      </c>
      <c r="G21" s="13" t="s">
        <v>2735</v>
      </c>
      <c r="H21" s="13" t="s">
        <v>2735</v>
      </c>
      <c r="I21" s="13" t="s">
        <v>2735</v>
      </c>
    </row>
    <row r="22" spans="1:9" s="13" customFormat="1" ht="12.75" customHeight="1">
      <c r="A22" s="74">
        <v>37</v>
      </c>
      <c r="B22" s="75" t="s">
        <v>4338</v>
      </c>
      <c r="C22" s="59" t="s">
        <v>4339</v>
      </c>
      <c r="D22" s="13" t="s">
        <v>1469</v>
      </c>
      <c r="E22" s="13" t="s">
        <v>1470</v>
      </c>
      <c r="F22" s="13" t="s">
        <v>1009</v>
      </c>
      <c r="G22" s="13" t="s">
        <v>2735</v>
      </c>
      <c r="H22" s="13" t="s">
        <v>2735</v>
      </c>
      <c r="I22" s="13" t="s">
        <v>2735</v>
      </c>
    </row>
    <row r="23" spans="1:9" s="13" customFormat="1" ht="12.75" customHeight="1">
      <c r="A23" s="74">
        <v>43</v>
      </c>
      <c r="B23" s="75" t="s">
        <v>4340</v>
      </c>
      <c r="C23" s="59" t="s">
        <v>4341</v>
      </c>
      <c r="D23" s="13" t="s">
        <v>1469</v>
      </c>
      <c r="E23" s="13" t="s">
        <v>1470</v>
      </c>
      <c r="F23" s="13" t="s">
        <v>1009</v>
      </c>
      <c r="G23" s="13" t="s">
        <v>2735</v>
      </c>
      <c r="H23" s="13" t="s">
        <v>2735</v>
      </c>
      <c r="I23" s="13" t="s">
        <v>2735</v>
      </c>
    </row>
    <row r="24" spans="1:9" s="13" customFormat="1" ht="12.75" customHeight="1">
      <c r="A24" s="74">
        <v>45</v>
      </c>
      <c r="B24" s="75" t="s">
        <v>4342</v>
      </c>
      <c r="C24" s="59" t="s">
        <v>4343</v>
      </c>
      <c r="D24" s="13" t="s">
        <v>1469</v>
      </c>
      <c r="E24" s="13" t="s">
        <v>1470</v>
      </c>
      <c r="F24" s="13" t="s">
        <v>1009</v>
      </c>
      <c r="G24" s="13" t="s">
        <v>2735</v>
      </c>
      <c r="H24" s="13" t="s">
        <v>2735</v>
      </c>
      <c r="I24" s="13" t="s">
        <v>2735</v>
      </c>
    </row>
    <row r="25" spans="1:9" s="13" customFormat="1" ht="12.75" customHeight="1">
      <c r="A25" s="74">
        <v>48</v>
      </c>
      <c r="B25" s="75" t="s">
        <v>4344</v>
      </c>
      <c r="C25" s="59" t="s">
        <v>4345</v>
      </c>
      <c r="D25" s="13" t="s">
        <v>1469</v>
      </c>
      <c r="E25" s="13" t="s">
        <v>1470</v>
      </c>
      <c r="F25" s="13" t="s">
        <v>1009</v>
      </c>
      <c r="G25" s="13" t="s">
        <v>2735</v>
      </c>
      <c r="H25" s="13" t="s">
        <v>2735</v>
      </c>
      <c r="I25" s="13" t="s">
        <v>2735</v>
      </c>
    </row>
    <row r="26" spans="1:9" s="13" customFormat="1" ht="12.75" customHeight="1">
      <c r="A26" s="74"/>
      <c r="B26" s="75"/>
      <c r="C26" s="60" t="s">
        <v>81</v>
      </c>
      <c r="D26" s="35">
        <f>COUNTA(D19:D25)</f>
        <v>7</v>
      </c>
    </row>
    <row r="27" spans="1:9" s="13" customFormat="1" ht="12.75" customHeight="1">
      <c r="A27" s="74"/>
      <c r="B27" s="75"/>
      <c r="C27" s="59"/>
    </row>
    <row r="28" spans="1:9" s="13" customFormat="1" ht="12.75" customHeight="1">
      <c r="A28" s="76">
        <v>5</v>
      </c>
      <c r="B28" s="75" t="s">
        <v>2840</v>
      </c>
      <c r="C28" s="59" t="s">
        <v>4346</v>
      </c>
      <c r="D28" s="13" t="s">
        <v>1469</v>
      </c>
      <c r="E28" s="13" t="s">
        <v>2735</v>
      </c>
      <c r="F28" s="13" t="s">
        <v>1009</v>
      </c>
      <c r="G28" s="13" t="s">
        <v>2735</v>
      </c>
      <c r="H28" s="13" t="s">
        <v>2735</v>
      </c>
      <c r="I28" s="13" t="s">
        <v>2735</v>
      </c>
    </row>
    <row r="29" spans="1:9" s="13" customFormat="1" ht="12.75" customHeight="1">
      <c r="A29" s="74">
        <v>40</v>
      </c>
      <c r="B29" s="75" t="s">
        <v>1590</v>
      </c>
      <c r="C29" s="59" t="s">
        <v>4347</v>
      </c>
      <c r="D29" s="13" t="s">
        <v>1469</v>
      </c>
      <c r="E29" s="13" t="s">
        <v>2735</v>
      </c>
      <c r="F29" s="13" t="s">
        <v>1009</v>
      </c>
      <c r="G29" s="13" t="s">
        <v>2735</v>
      </c>
      <c r="H29" s="13" t="s">
        <v>2735</v>
      </c>
      <c r="I29" s="13" t="s">
        <v>2735</v>
      </c>
    </row>
    <row r="30" spans="1:9" s="13" customFormat="1" ht="12.75" customHeight="1">
      <c r="A30" s="74">
        <v>42</v>
      </c>
      <c r="B30" s="75" t="s">
        <v>4348</v>
      </c>
      <c r="C30" s="59" t="s">
        <v>4349</v>
      </c>
      <c r="D30" s="13" t="s">
        <v>1469</v>
      </c>
      <c r="E30" s="13" t="s">
        <v>2735</v>
      </c>
      <c r="F30" s="13" t="s">
        <v>1009</v>
      </c>
      <c r="G30" s="13" t="s">
        <v>2735</v>
      </c>
      <c r="H30" s="13" t="s">
        <v>2735</v>
      </c>
      <c r="I30" s="13" t="s">
        <v>2735</v>
      </c>
    </row>
    <row r="31" spans="1:9" s="13" customFormat="1" ht="12.75" customHeight="1">
      <c r="A31" s="74"/>
      <c r="B31" s="75"/>
      <c r="C31" s="60" t="s">
        <v>88</v>
      </c>
      <c r="D31" s="35">
        <f>COUNTA(D28:D30)+D26</f>
        <v>10</v>
      </c>
    </row>
    <row r="32" spans="1:9" s="13" customFormat="1" ht="12.75" customHeight="1">
      <c r="A32" s="74"/>
      <c r="B32" s="75"/>
      <c r="C32" s="59"/>
    </row>
    <row r="33" spans="1:9" s="13" customFormat="1" ht="12.75" customHeight="1">
      <c r="A33" s="76">
        <v>35</v>
      </c>
      <c r="B33" s="75" t="s">
        <v>4350</v>
      </c>
      <c r="C33" s="59" t="s">
        <v>4351</v>
      </c>
      <c r="D33" s="13" t="s">
        <v>1514</v>
      </c>
      <c r="E33" s="13" t="s">
        <v>2735</v>
      </c>
      <c r="F33" s="13" t="s">
        <v>1010</v>
      </c>
      <c r="G33" s="13" t="s">
        <v>1514</v>
      </c>
      <c r="H33" s="13" t="s">
        <v>1517</v>
      </c>
      <c r="I33" s="13" t="s">
        <v>1009</v>
      </c>
    </row>
    <row r="34" spans="1:9" s="13" customFormat="1" ht="12.75" customHeight="1">
      <c r="A34" s="74">
        <v>9</v>
      </c>
      <c r="B34" s="75" t="s">
        <v>4352</v>
      </c>
      <c r="C34" s="59" t="s">
        <v>4353</v>
      </c>
      <c r="D34" s="13" t="s">
        <v>1514</v>
      </c>
      <c r="E34" s="13" t="s">
        <v>2735</v>
      </c>
      <c r="F34" s="13" t="s">
        <v>1009</v>
      </c>
      <c r="G34" s="13" t="s">
        <v>2735</v>
      </c>
      <c r="H34" s="13" t="s">
        <v>2735</v>
      </c>
      <c r="I34" s="13" t="s">
        <v>2735</v>
      </c>
    </row>
    <row r="35" spans="1:9" s="13" customFormat="1" ht="12.75" customHeight="1">
      <c r="A35" s="74"/>
      <c r="B35" s="75"/>
      <c r="C35" s="60" t="s">
        <v>95</v>
      </c>
      <c r="D35" s="35">
        <f>COUNTA(D33:D34)</f>
        <v>2</v>
      </c>
    </row>
    <row r="36" spans="1:9" s="13" customFormat="1" ht="12.75" customHeight="1">
      <c r="A36" s="74"/>
      <c r="B36" s="75"/>
      <c r="C36" s="59"/>
    </row>
    <row r="37" spans="1:9" s="13" customFormat="1" ht="12.75" customHeight="1">
      <c r="A37" s="74">
        <v>27</v>
      </c>
      <c r="B37" s="75" t="s">
        <v>4354</v>
      </c>
      <c r="C37" s="59" t="s">
        <v>4355</v>
      </c>
      <c r="D37" s="13" t="s">
        <v>1517</v>
      </c>
      <c r="E37" s="13" t="s">
        <v>2735</v>
      </c>
      <c r="F37" s="13" t="s">
        <v>1009</v>
      </c>
      <c r="G37" s="13" t="s">
        <v>2735</v>
      </c>
      <c r="H37" s="13" t="s">
        <v>2735</v>
      </c>
      <c r="I37" s="13" t="s">
        <v>2735</v>
      </c>
    </row>
    <row r="38" spans="1:9" s="13" customFormat="1" ht="12.75" customHeight="1">
      <c r="A38" s="74">
        <v>34</v>
      </c>
      <c r="B38" s="75" t="s">
        <v>2721</v>
      </c>
      <c r="C38" s="59" t="s">
        <v>4356</v>
      </c>
      <c r="D38" s="13" t="s">
        <v>1517</v>
      </c>
      <c r="E38" s="13" t="s">
        <v>2735</v>
      </c>
      <c r="F38" s="13" t="s">
        <v>1009</v>
      </c>
      <c r="G38" s="13" t="s">
        <v>2735</v>
      </c>
      <c r="H38" s="13" t="s">
        <v>2735</v>
      </c>
      <c r="I38" s="13" t="s">
        <v>2735</v>
      </c>
    </row>
    <row r="39" spans="1:9" s="13" customFormat="1" ht="12.75" customHeight="1">
      <c r="A39" s="74"/>
      <c r="B39" s="75"/>
      <c r="C39" s="60" t="s">
        <v>95</v>
      </c>
      <c r="D39" s="35">
        <f>COUNTA(D37:D38)</f>
        <v>2</v>
      </c>
    </row>
    <row r="40" spans="1:9" s="13" customFormat="1" ht="12.75" customHeight="1">
      <c r="A40" s="74"/>
      <c r="B40" s="75"/>
      <c r="C40" s="59"/>
    </row>
    <row r="41" spans="1:9" s="13" customFormat="1" ht="12.75" customHeight="1">
      <c r="A41" s="74">
        <v>2</v>
      </c>
      <c r="B41" s="75" t="s">
        <v>4357</v>
      </c>
      <c r="C41" s="59" t="s">
        <v>4358</v>
      </c>
      <c r="D41" s="13" t="s">
        <v>1473</v>
      </c>
      <c r="E41" s="13" t="s">
        <v>2735</v>
      </c>
      <c r="F41" s="13" t="s">
        <v>1009</v>
      </c>
      <c r="G41" s="13" t="s">
        <v>2735</v>
      </c>
      <c r="H41" s="13" t="s">
        <v>2735</v>
      </c>
      <c r="I41" s="13" t="s">
        <v>2735</v>
      </c>
    </row>
    <row r="42" spans="1:9" s="13" customFormat="1" ht="12.75" customHeight="1">
      <c r="A42" s="74">
        <v>3</v>
      </c>
      <c r="B42" s="75" t="s">
        <v>4359</v>
      </c>
      <c r="C42" s="59" t="s">
        <v>4360</v>
      </c>
      <c r="D42" s="13" t="s">
        <v>1473</v>
      </c>
      <c r="E42" s="13" t="s">
        <v>2735</v>
      </c>
      <c r="F42" s="13" t="s">
        <v>1009</v>
      </c>
      <c r="G42" s="13" t="s">
        <v>2735</v>
      </c>
      <c r="H42" s="13" t="s">
        <v>2735</v>
      </c>
      <c r="I42" s="13" t="s">
        <v>2735</v>
      </c>
    </row>
    <row r="43" spans="1:9" s="13" customFormat="1" ht="12.75" customHeight="1">
      <c r="A43" s="74">
        <v>6</v>
      </c>
      <c r="B43" s="75" t="s">
        <v>4361</v>
      </c>
      <c r="C43" s="59" t="s">
        <v>4362</v>
      </c>
      <c r="D43" s="13" t="s">
        <v>1473</v>
      </c>
      <c r="E43" s="13" t="s">
        <v>2735</v>
      </c>
      <c r="F43" s="13" t="s">
        <v>1009</v>
      </c>
      <c r="G43" s="13" t="s">
        <v>2735</v>
      </c>
      <c r="H43" s="13" t="s">
        <v>2735</v>
      </c>
      <c r="I43" s="13" t="s">
        <v>2735</v>
      </c>
    </row>
    <row r="44" spans="1:9" s="13" customFormat="1" ht="12.75" customHeight="1">
      <c r="A44" s="74">
        <v>7</v>
      </c>
      <c r="B44" s="75" t="s">
        <v>4363</v>
      </c>
      <c r="C44" s="59" t="s">
        <v>4364</v>
      </c>
      <c r="D44" s="13" t="s">
        <v>1473</v>
      </c>
      <c r="E44" s="13" t="s">
        <v>2735</v>
      </c>
      <c r="F44" s="13" t="s">
        <v>1009</v>
      </c>
      <c r="G44" s="13" t="s">
        <v>2735</v>
      </c>
      <c r="H44" s="13" t="s">
        <v>2735</v>
      </c>
      <c r="I44" s="13" t="s">
        <v>2735</v>
      </c>
    </row>
    <row r="45" spans="1:9" s="13" customFormat="1" ht="12.75" customHeight="1">
      <c r="A45" s="74">
        <v>10</v>
      </c>
      <c r="B45" s="75" t="s">
        <v>4365</v>
      </c>
      <c r="C45" s="59" t="s">
        <v>4366</v>
      </c>
      <c r="D45" s="13" t="s">
        <v>1473</v>
      </c>
      <c r="E45" s="13" t="s">
        <v>2735</v>
      </c>
      <c r="F45" s="13" t="s">
        <v>1009</v>
      </c>
      <c r="G45" s="13" t="s">
        <v>2735</v>
      </c>
      <c r="H45" s="13" t="s">
        <v>2735</v>
      </c>
      <c r="I45" s="13" t="s">
        <v>2735</v>
      </c>
    </row>
    <row r="46" spans="1:9" s="13" customFormat="1" ht="12.75" customHeight="1">
      <c r="A46" s="74">
        <v>12</v>
      </c>
      <c r="B46" s="75" t="s">
        <v>4367</v>
      </c>
      <c r="C46" s="59" t="s">
        <v>4368</v>
      </c>
      <c r="D46" s="13" t="s">
        <v>1473</v>
      </c>
      <c r="E46" s="13" t="s">
        <v>2735</v>
      </c>
      <c r="F46" s="13" t="s">
        <v>1009</v>
      </c>
      <c r="G46" s="13" t="s">
        <v>2735</v>
      </c>
      <c r="H46" s="13" t="s">
        <v>2735</v>
      </c>
      <c r="I46" s="13" t="s">
        <v>2735</v>
      </c>
    </row>
    <row r="47" spans="1:9" s="13" customFormat="1" ht="12.75" customHeight="1">
      <c r="A47" s="74">
        <v>13</v>
      </c>
      <c r="B47" s="75" t="s">
        <v>4369</v>
      </c>
      <c r="C47" s="59" t="s">
        <v>4370</v>
      </c>
      <c r="D47" s="13" t="s">
        <v>1473</v>
      </c>
      <c r="E47" s="13" t="s">
        <v>2735</v>
      </c>
      <c r="F47" s="13" t="s">
        <v>1009</v>
      </c>
      <c r="G47" s="13" t="s">
        <v>2735</v>
      </c>
      <c r="H47" s="13" t="s">
        <v>2735</v>
      </c>
      <c r="I47" s="13" t="s">
        <v>2735</v>
      </c>
    </row>
    <row r="48" spans="1:9" s="13" customFormat="1" ht="12.75" customHeight="1">
      <c r="A48" s="74">
        <v>14</v>
      </c>
      <c r="B48" s="75" t="s">
        <v>4371</v>
      </c>
      <c r="C48" s="59" t="s">
        <v>4372</v>
      </c>
      <c r="D48" s="13" t="s">
        <v>1473</v>
      </c>
      <c r="E48" s="13" t="s">
        <v>2735</v>
      </c>
      <c r="F48" s="13" t="s">
        <v>1009</v>
      </c>
      <c r="G48" s="13" t="s">
        <v>2735</v>
      </c>
      <c r="H48" s="13" t="s">
        <v>2735</v>
      </c>
      <c r="I48" s="13" t="s">
        <v>2735</v>
      </c>
    </row>
    <row r="49" spans="1:9" s="13" customFormat="1" ht="12.75" customHeight="1">
      <c r="A49" s="74">
        <v>15</v>
      </c>
      <c r="B49" s="75" t="s">
        <v>4373</v>
      </c>
      <c r="C49" s="59" t="s">
        <v>4374</v>
      </c>
      <c r="D49" s="13" t="s">
        <v>1473</v>
      </c>
      <c r="E49" s="13" t="s">
        <v>2735</v>
      </c>
      <c r="F49" s="13" t="s">
        <v>1009</v>
      </c>
      <c r="G49" s="13" t="s">
        <v>2735</v>
      </c>
      <c r="H49" s="13" t="s">
        <v>2735</v>
      </c>
      <c r="I49" s="13" t="s">
        <v>2735</v>
      </c>
    </row>
    <row r="50" spans="1:9" s="13" customFormat="1" ht="12.75" customHeight="1">
      <c r="A50" s="74">
        <v>16</v>
      </c>
      <c r="B50" s="75" t="s">
        <v>4375</v>
      </c>
      <c r="C50" s="59" t="s">
        <v>4376</v>
      </c>
      <c r="D50" s="13" t="s">
        <v>1473</v>
      </c>
      <c r="E50" s="13" t="s">
        <v>2735</v>
      </c>
      <c r="F50" s="13" t="s">
        <v>1009</v>
      </c>
      <c r="G50" s="13" t="s">
        <v>2735</v>
      </c>
      <c r="H50" s="13" t="s">
        <v>2735</v>
      </c>
      <c r="I50" s="13" t="s">
        <v>2735</v>
      </c>
    </row>
    <row r="51" spans="1:9" s="13" customFormat="1" ht="12.75" customHeight="1">
      <c r="A51" s="74">
        <v>18</v>
      </c>
      <c r="B51" s="75" t="s">
        <v>4377</v>
      </c>
      <c r="C51" s="59" t="s">
        <v>4378</v>
      </c>
      <c r="D51" s="13" t="s">
        <v>1473</v>
      </c>
      <c r="E51" s="13" t="s">
        <v>2735</v>
      </c>
      <c r="F51" s="13" t="s">
        <v>1009</v>
      </c>
      <c r="G51" s="13" t="s">
        <v>2735</v>
      </c>
      <c r="H51" s="13" t="s">
        <v>2735</v>
      </c>
      <c r="I51" s="13" t="s">
        <v>2735</v>
      </c>
    </row>
    <row r="52" spans="1:9" s="13" customFormat="1" ht="12.75" customHeight="1">
      <c r="A52" s="74">
        <v>19</v>
      </c>
      <c r="B52" s="75" t="s">
        <v>4379</v>
      </c>
      <c r="C52" s="59" t="s">
        <v>4380</v>
      </c>
      <c r="D52" s="13" t="s">
        <v>1473</v>
      </c>
      <c r="E52" s="13" t="s">
        <v>2735</v>
      </c>
      <c r="F52" s="13" t="s">
        <v>1009</v>
      </c>
      <c r="G52" s="13" t="s">
        <v>2735</v>
      </c>
      <c r="H52" s="13" t="s">
        <v>2735</v>
      </c>
      <c r="I52" s="13" t="s">
        <v>2735</v>
      </c>
    </row>
    <row r="53" spans="1:9" s="13" customFormat="1" ht="12.75" customHeight="1">
      <c r="A53" s="74">
        <v>20</v>
      </c>
      <c r="B53" s="75" t="s">
        <v>4381</v>
      </c>
      <c r="C53" s="59" t="s">
        <v>4382</v>
      </c>
      <c r="D53" s="13" t="s">
        <v>1473</v>
      </c>
      <c r="E53" s="13" t="s">
        <v>2735</v>
      </c>
      <c r="F53" s="13" t="s">
        <v>1009</v>
      </c>
      <c r="G53" s="13" t="s">
        <v>2735</v>
      </c>
      <c r="H53" s="13" t="s">
        <v>2735</v>
      </c>
      <c r="I53" s="13" t="s">
        <v>2735</v>
      </c>
    </row>
    <row r="54" spans="1:9" s="13" customFormat="1" ht="12.75" customHeight="1">
      <c r="A54" s="74">
        <v>21</v>
      </c>
      <c r="B54" s="75" t="s">
        <v>4383</v>
      </c>
      <c r="C54" s="59" t="s">
        <v>4384</v>
      </c>
      <c r="D54" s="13" t="s">
        <v>1473</v>
      </c>
      <c r="E54" s="13" t="s">
        <v>2735</v>
      </c>
      <c r="F54" s="13" t="s">
        <v>1009</v>
      </c>
      <c r="G54" s="13" t="s">
        <v>2735</v>
      </c>
      <c r="H54" s="13" t="s">
        <v>2735</v>
      </c>
      <c r="I54" s="13" t="s">
        <v>2735</v>
      </c>
    </row>
    <row r="55" spans="1:9" s="13" customFormat="1" ht="12.75" customHeight="1">
      <c r="A55" s="74">
        <v>22</v>
      </c>
      <c r="B55" s="75" t="s">
        <v>4385</v>
      </c>
      <c r="C55" s="59" t="s">
        <v>4386</v>
      </c>
      <c r="D55" s="13" t="s">
        <v>1473</v>
      </c>
      <c r="E55" s="13" t="s">
        <v>2735</v>
      </c>
      <c r="F55" s="13" t="s">
        <v>1009</v>
      </c>
      <c r="G55" s="13" t="s">
        <v>2735</v>
      </c>
      <c r="H55" s="13" t="s">
        <v>2735</v>
      </c>
      <c r="I55" s="13" t="s">
        <v>2735</v>
      </c>
    </row>
    <row r="56" spans="1:9" s="13" customFormat="1" ht="12.75" customHeight="1">
      <c r="A56" s="74">
        <v>23</v>
      </c>
      <c r="B56" s="75" t="s">
        <v>4387</v>
      </c>
      <c r="C56" s="59" t="s">
        <v>4388</v>
      </c>
      <c r="D56" s="13" t="s">
        <v>1473</v>
      </c>
      <c r="E56" s="13" t="s">
        <v>2735</v>
      </c>
      <c r="F56" s="13" t="s">
        <v>1009</v>
      </c>
      <c r="G56" s="13" t="s">
        <v>2735</v>
      </c>
      <c r="H56" s="13" t="s">
        <v>2735</v>
      </c>
      <c r="I56" s="13" t="s">
        <v>2735</v>
      </c>
    </row>
    <row r="57" spans="1:9" s="13" customFormat="1" ht="12.75" customHeight="1">
      <c r="A57" s="74">
        <v>24</v>
      </c>
      <c r="B57" s="75" t="s">
        <v>4389</v>
      </c>
      <c r="C57" s="59" t="s">
        <v>4390</v>
      </c>
      <c r="D57" s="13" t="s">
        <v>1473</v>
      </c>
      <c r="E57" s="13" t="s">
        <v>2735</v>
      </c>
      <c r="F57" s="13" t="s">
        <v>1009</v>
      </c>
      <c r="G57" s="13" t="s">
        <v>2735</v>
      </c>
      <c r="H57" s="13" t="s">
        <v>2735</v>
      </c>
      <c r="I57" s="13" t="s">
        <v>2735</v>
      </c>
    </row>
    <row r="58" spans="1:9" s="13" customFormat="1" ht="12.75" customHeight="1">
      <c r="A58" s="74">
        <v>25</v>
      </c>
      <c r="B58" s="75" t="s">
        <v>4391</v>
      </c>
      <c r="C58" s="59" t="s">
        <v>4392</v>
      </c>
      <c r="D58" s="13" t="s">
        <v>1473</v>
      </c>
      <c r="E58" s="13" t="s">
        <v>2735</v>
      </c>
      <c r="F58" s="13" t="s">
        <v>1009</v>
      </c>
      <c r="G58" s="13" t="s">
        <v>2735</v>
      </c>
      <c r="H58" s="13" t="s">
        <v>2735</v>
      </c>
      <c r="I58" s="13" t="s">
        <v>2735</v>
      </c>
    </row>
    <row r="59" spans="1:9" s="13" customFormat="1" ht="12.75" customHeight="1">
      <c r="A59" s="74">
        <v>26</v>
      </c>
      <c r="B59" s="75" t="s">
        <v>4393</v>
      </c>
      <c r="C59" s="59" t="s">
        <v>4394</v>
      </c>
      <c r="D59" s="13" t="s">
        <v>1473</v>
      </c>
      <c r="E59" s="13" t="s">
        <v>2735</v>
      </c>
      <c r="F59" s="13" t="s">
        <v>1009</v>
      </c>
      <c r="G59" s="13" t="s">
        <v>2735</v>
      </c>
      <c r="H59" s="13" t="s">
        <v>2735</v>
      </c>
      <c r="I59" s="13" t="s">
        <v>2735</v>
      </c>
    </row>
    <row r="60" spans="1:9" s="13" customFormat="1" ht="12.75" customHeight="1">
      <c r="A60" s="76">
        <v>28</v>
      </c>
      <c r="B60" s="75" t="s">
        <v>4395</v>
      </c>
      <c r="C60" s="59" t="s">
        <v>4396</v>
      </c>
      <c r="D60" s="13" t="s">
        <v>1473</v>
      </c>
      <c r="E60" s="13" t="s">
        <v>2735</v>
      </c>
      <c r="F60" s="13" t="s">
        <v>1009</v>
      </c>
      <c r="G60" s="13" t="s">
        <v>2735</v>
      </c>
      <c r="H60" s="13" t="s">
        <v>2735</v>
      </c>
      <c r="I60" s="13" t="s">
        <v>2735</v>
      </c>
    </row>
    <row r="61" spans="1:9" s="13" customFormat="1" ht="12.75" customHeight="1">
      <c r="A61" s="74">
        <v>29</v>
      </c>
      <c r="B61" s="75" t="s">
        <v>4397</v>
      </c>
      <c r="C61" s="59" t="s">
        <v>4398</v>
      </c>
      <c r="D61" s="13" t="s">
        <v>1473</v>
      </c>
      <c r="E61" s="13" t="s">
        <v>2735</v>
      </c>
      <c r="F61" s="13" t="s">
        <v>1009</v>
      </c>
      <c r="G61" s="13" t="s">
        <v>2735</v>
      </c>
      <c r="H61" s="13" t="s">
        <v>2735</v>
      </c>
      <c r="I61" s="13" t="s">
        <v>2735</v>
      </c>
    </row>
    <row r="62" spans="1:9" s="13" customFormat="1" ht="12.75" customHeight="1">
      <c r="A62" s="74">
        <v>30</v>
      </c>
      <c r="B62" s="75" t="s">
        <v>4399</v>
      </c>
      <c r="C62" s="59" t="s">
        <v>4400</v>
      </c>
      <c r="D62" s="13" t="s">
        <v>1473</v>
      </c>
      <c r="E62" s="13" t="s">
        <v>2735</v>
      </c>
      <c r="F62" s="13" t="s">
        <v>1009</v>
      </c>
      <c r="G62" s="13" t="s">
        <v>2735</v>
      </c>
      <c r="H62" s="13" t="s">
        <v>2735</v>
      </c>
      <c r="I62" s="13" t="s">
        <v>2735</v>
      </c>
    </row>
    <row r="63" spans="1:9" s="13" customFormat="1" ht="12.75" customHeight="1">
      <c r="A63" s="74">
        <v>31</v>
      </c>
      <c r="B63" s="75" t="s">
        <v>4401</v>
      </c>
      <c r="C63" s="59" t="s">
        <v>4402</v>
      </c>
      <c r="D63" s="13" t="s">
        <v>1473</v>
      </c>
      <c r="E63" s="13" t="s">
        <v>2735</v>
      </c>
      <c r="F63" s="13" t="s">
        <v>1009</v>
      </c>
      <c r="G63" s="13" t="s">
        <v>2735</v>
      </c>
      <c r="H63" s="13" t="s">
        <v>2735</v>
      </c>
      <c r="I63" s="13" t="s">
        <v>2735</v>
      </c>
    </row>
    <row r="64" spans="1:9" s="13" customFormat="1" ht="12.75" customHeight="1">
      <c r="A64" s="74">
        <v>32</v>
      </c>
      <c r="B64" s="75" t="s">
        <v>2721</v>
      </c>
      <c r="C64" s="59" t="s">
        <v>4403</v>
      </c>
      <c r="D64" s="13" t="s">
        <v>1473</v>
      </c>
      <c r="E64" s="13" t="s">
        <v>2735</v>
      </c>
      <c r="F64" s="13" t="s">
        <v>1009</v>
      </c>
      <c r="G64" s="13" t="s">
        <v>2735</v>
      </c>
      <c r="H64" s="13" t="s">
        <v>2735</v>
      </c>
      <c r="I64" s="13" t="s">
        <v>2735</v>
      </c>
    </row>
    <row r="65" spans="1:9" s="13" customFormat="1" ht="12.75" customHeight="1">
      <c r="A65" s="74">
        <v>39</v>
      </c>
      <c r="B65" s="75" t="s">
        <v>4404</v>
      </c>
      <c r="C65" s="59" t="s">
        <v>4405</v>
      </c>
      <c r="D65" s="13" t="s">
        <v>1473</v>
      </c>
      <c r="E65" s="13" t="s">
        <v>2735</v>
      </c>
      <c r="F65" s="13" t="s">
        <v>1009</v>
      </c>
      <c r="G65" s="13" t="s">
        <v>2735</v>
      </c>
      <c r="H65" s="13" t="s">
        <v>2735</v>
      </c>
      <c r="I65" s="13" t="s">
        <v>2735</v>
      </c>
    </row>
    <row r="66" spans="1:9" s="13" customFormat="1" ht="12.75" customHeight="1">
      <c r="A66" s="74">
        <v>41</v>
      </c>
      <c r="B66" s="75" t="s">
        <v>4406</v>
      </c>
      <c r="C66" s="59" t="s">
        <v>4407</v>
      </c>
      <c r="D66" s="13" t="s">
        <v>1473</v>
      </c>
      <c r="E66" s="13" t="s">
        <v>2735</v>
      </c>
      <c r="F66" s="13" t="s">
        <v>1009</v>
      </c>
      <c r="G66" s="13" t="s">
        <v>2735</v>
      </c>
      <c r="H66" s="13" t="s">
        <v>2735</v>
      </c>
      <c r="I66" s="13" t="s">
        <v>2735</v>
      </c>
    </row>
    <row r="67" spans="1:9" s="13" customFormat="1" ht="12.75" customHeight="1">
      <c r="A67" s="74">
        <v>44</v>
      </c>
      <c r="B67" s="75" t="s">
        <v>4408</v>
      </c>
      <c r="C67" s="59" t="s">
        <v>4409</v>
      </c>
      <c r="D67" s="13" t="s">
        <v>1473</v>
      </c>
      <c r="E67" s="13" t="s">
        <v>2735</v>
      </c>
      <c r="F67" s="13" t="s">
        <v>1009</v>
      </c>
      <c r="G67" s="13" t="s">
        <v>2735</v>
      </c>
      <c r="H67" s="13" t="s">
        <v>2735</v>
      </c>
      <c r="I67" s="13" t="s">
        <v>2735</v>
      </c>
    </row>
    <row r="68" spans="1:9" s="13" customFormat="1" ht="12.75" customHeight="1">
      <c r="A68" s="74">
        <v>46</v>
      </c>
      <c r="B68" s="75" t="s">
        <v>4410</v>
      </c>
      <c r="C68" s="59" t="s">
        <v>4411</v>
      </c>
      <c r="D68" s="13" t="s">
        <v>1473</v>
      </c>
      <c r="E68" s="13" t="s">
        <v>2735</v>
      </c>
      <c r="F68" s="13" t="s">
        <v>1009</v>
      </c>
      <c r="G68" s="13" t="s">
        <v>2735</v>
      </c>
      <c r="H68" s="13" t="s">
        <v>2735</v>
      </c>
      <c r="I68" s="13" t="s">
        <v>2735</v>
      </c>
    </row>
    <row r="69" spans="1:9" s="13" customFormat="1" ht="12.75" customHeight="1">
      <c r="A69" s="74">
        <v>47</v>
      </c>
      <c r="B69" s="75" t="s">
        <v>4412</v>
      </c>
      <c r="C69" s="59" t="s">
        <v>4413</v>
      </c>
      <c r="D69" s="13" t="s">
        <v>1473</v>
      </c>
      <c r="E69" s="13" t="s">
        <v>2735</v>
      </c>
      <c r="F69" s="13" t="s">
        <v>1009</v>
      </c>
      <c r="G69" s="13" t="s">
        <v>2735</v>
      </c>
      <c r="H69" s="13" t="s">
        <v>2735</v>
      </c>
      <c r="I69" s="13" t="s">
        <v>2735</v>
      </c>
    </row>
    <row r="70" spans="1:9" s="13" customFormat="1" ht="12.75" customHeight="1">
      <c r="A70" s="74">
        <v>49</v>
      </c>
      <c r="B70" s="75" t="s">
        <v>4414</v>
      </c>
      <c r="C70" s="59" t="s">
        <v>4415</v>
      </c>
      <c r="D70" s="13" t="s">
        <v>1473</v>
      </c>
      <c r="E70" s="13" t="s">
        <v>2735</v>
      </c>
      <c r="F70" s="13" t="s">
        <v>1009</v>
      </c>
      <c r="G70" s="13" t="s">
        <v>2735</v>
      </c>
      <c r="H70" s="13" t="s">
        <v>2735</v>
      </c>
      <c r="I70" s="13" t="s">
        <v>2735</v>
      </c>
    </row>
    <row r="71" spans="1:9" s="13" customFormat="1" ht="12.75" customHeight="1">
      <c r="A71" s="74">
        <v>50</v>
      </c>
      <c r="B71" s="75" t="s">
        <v>4416</v>
      </c>
      <c r="C71" s="59" t="s">
        <v>4417</v>
      </c>
      <c r="D71" s="13" t="s">
        <v>1473</v>
      </c>
      <c r="E71" s="13" t="s">
        <v>2735</v>
      </c>
      <c r="F71" s="13" t="s">
        <v>1009</v>
      </c>
      <c r="G71" s="13" t="s">
        <v>2735</v>
      </c>
      <c r="H71" s="13" t="s">
        <v>2735</v>
      </c>
      <c r="I71" s="13" t="s">
        <v>2735</v>
      </c>
    </row>
    <row r="72" spans="1:9" s="13" customFormat="1" ht="12.75" customHeight="1">
      <c r="A72" s="74">
        <v>33</v>
      </c>
      <c r="B72" s="75" t="s">
        <v>2721</v>
      </c>
      <c r="C72" s="59" t="s">
        <v>4418</v>
      </c>
      <c r="D72" s="13" t="s">
        <v>4302</v>
      </c>
      <c r="E72" s="13" t="s">
        <v>2735</v>
      </c>
      <c r="F72" s="13" t="s">
        <v>1009</v>
      </c>
      <c r="G72" s="13" t="s">
        <v>2735</v>
      </c>
      <c r="H72" s="13" t="s">
        <v>2735</v>
      </c>
      <c r="I72" s="13" t="s">
        <v>2735</v>
      </c>
    </row>
    <row r="73" spans="1:9" s="13" customFormat="1" ht="12.75" customHeight="1">
      <c r="A73" s="74">
        <v>8</v>
      </c>
      <c r="B73" s="75" t="s">
        <v>208</v>
      </c>
      <c r="C73" s="59" t="s">
        <v>4419</v>
      </c>
      <c r="D73" s="13" t="s">
        <v>4420</v>
      </c>
      <c r="E73" s="13" t="s">
        <v>2735</v>
      </c>
      <c r="F73" s="13" t="s">
        <v>1009</v>
      </c>
      <c r="G73" s="13" t="s">
        <v>2735</v>
      </c>
      <c r="H73" s="13" t="s">
        <v>2735</v>
      </c>
      <c r="I73" s="13" t="s">
        <v>2735</v>
      </c>
    </row>
    <row r="74" spans="1:9" s="13" customFormat="1" ht="12.75" customHeight="1">
      <c r="A74" s="74"/>
      <c r="B74" s="75"/>
      <c r="C74" s="60" t="s">
        <v>95</v>
      </c>
      <c r="D74" s="35">
        <f>COUNTA(D41:D73)</f>
        <v>33</v>
      </c>
    </row>
    <row r="75" spans="1:9" s="13" customFormat="1" ht="12.75" customHeight="1">
      <c r="A75" s="74"/>
      <c r="B75" s="75"/>
      <c r="C75" s="59"/>
    </row>
    <row r="76" spans="1:9" s="13" customFormat="1" ht="12.75" customHeight="1">
      <c r="A76" s="76">
        <v>1</v>
      </c>
      <c r="B76" s="75" t="s">
        <v>4421</v>
      </c>
      <c r="C76" s="59" t="s">
        <v>4422</v>
      </c>
      <c r="D76" s="13" t="s">
        <v>4423</v>
      </c>
      <c r="E76" s="13" t="s">
        <v>2735</v>
      </c>
      <c r="F76" s="13" t="s">
        <v>1009</v>
      </c>
      <c r="G76" s="13" t="s">
        <v>2735</v>
      </c>
      <c r="H76" s="13" t="s">
        <v>2735</v>
      </c>
      <c r="I76" s="13" t="s">
        <v>2735</v>
      </c>
    </row>
    <row r="77" spans="1:9" s="13" customFormat="1" ht="12.75" customHeight="1">
      <c r="A77" s="76">
        <v>36</v>
      </c>
      <c r="B77" s="75" t="s">
        <v>4424</v>
      </c>
      <c r="C77" s="59" t="s">
        <v>4425</v>
      </c>
      <c r="D77" s="13" t="s">
        <v>4423</v>
      </c>
      <c r="E77" s="13" t="s">
        <v>2735</v>
      </c>
      <c r="F77" s="13" t="s">
        <v>1009</v>
      </c>
      <c r="G77" s="13" t="s">
        <v>2735</v>
      </c>
      <c r="H77" s="13" t="s">
        <v>2735</v>
      </c>
      <c r="I77" s="13" t="s">
        <v>2735</v>
      </c>
    </row>
    <row r="78" spans="1:9" s="13" customFormat="1" ht="12.75" customHeight="1">
      <c r="C78" s="60" t="s">
        <v>95</v>
      </c>
      <c r="D78" s="35">
        <f>COUNTA(D76:D77)</f>
        <v>2</v>
      </c>
    </row>
    <row r="79" spans="1:9" s="13" customFormat="1" ht="12.75" customHeight="1">
      <c r="C79" s="59"/>
    </row>
    <row r="80" spans="1:9" s="13" customFormat="1" ht="42">
      <c r="A80" s="73" t="s">
        <v>35</v>
      </c>
      <c r="B80" s="73" t="s">
        <v>36</v>
      </c>
      <c r="C80" s="73" t="s">
        <v>37</v>
      </c>
      <c r="D80" s="73" t="s">
        <v>38</v>
      </c>
      <c r="E80" s="73" t="s">
        <v>39</v>
      </c>
      <c r="F80" s="73" t="s">
        <v>40</v>
      </c>
      <c r="G80" s="73" t="s">
        <v>41</v>
      </c>
      <c r="H80" s="73" t="s">
        <v>42</v>
      </c>
      <c r="I80" s="73" t="s">
        <v>1466</v>
      </c>
    </row>
    <row r="81" spans="1:9" s="13" customFormat="1" ht="12.75" customHeight="1">
      <c r="A81" s="76">
        <v>35</v>
      </c>
      <c r="B81" s="75" t="s">
        <v>4350</v>
      </c>
      <c r="C81" s="59" t="s">
        <v>4351</v>
      </c>
      <c r="D81" s="13" t="s">
        <v>1514</v>
      </c>
      <c r="E81" s="13" t="s">
        <v>2735</v>
      </c>
      <c r="F81" s="13" t="s">
        <v>1010</v>
      </c>
      <c r="G81" s="13" t="s">
        <v>1514</v>
      </c>
      <c r="H81" s="13" t="s">
        <v>1517</v>
      </c>
      <c r="I81" s="13" t="s">
        <v>1009</v>
      </c>
    </row>
    <row r="82" spans="1:9" s="13" customFormat="1" ht="12.75" customHeight="1">
      <c r="A82" s="74">
        <v>51</v>
      </c>
      <c r="B82" s="75" t="s">
        <v>4426</v>
      </c>
      <c r="C82" s="59" t="s">
        <v>4427</v>
      </c>
      <c r="D82" s="13" t="s">
        <v>2735</v>
      </c>
      <c r="E82" s="13" t="s">
        <v>2735</v>
      </c>
      <c r="F82" s="13" t="s">
        <v>1010</v>
      </c>
      <c r="G82" s="13" t="s">
        <v>1524</v>
      </c>
      <c r="H82" s="13" t="s">
        <v>1514</v>
      </c>
      <c r="I82" s="13" t="s">
        <v>1009</v>
      </c>
    </row>
    <row r="83" spans="1:9" s="13" customFormat="1" ht="12.75" customHeight="1">
      <c r="A83" s="74">
        <v>52</v>
      </c>
      <c r="B83" s="75" t="s">
        <v>1755</v>
      </c>
      <c r="C83" s="59" t="s">
        <v>4428</v>
      </c>
      <c r="D83" s="13" t="s">
        <v>2735</v>
      </c>
      <c r="E83" s="13" t="s">
        <v>2735</v>
      </c>
      <c r="F83" s="13" t="s">
        <v>1010</v>
      </c>
      <c r="G83" s="13" t="s">
        <v>1514</v>
      </c>
      <c r="H83" s="13" t="s">
        <v>1514</v>
      </c>
      <c r="I83" s="13" t="s">
        <v>1009</v>
      </c>
    </row>
    <row r="84" spans="1:9" s="13" customFormat="1" ht="12.75" customHeight="1">
      <c r="A84" s="74">
        <v>53</v>
      </c>
      <c r="B84" s="75" t="s">
        <v>4429</v>
      </c>
      <c r="C84" s="59" t="s">
        <v>4430</v>
      </c>
      <c r="D84" s="13" t="s">
        <v>2735</v>
      </c>
      <c r="E84" s="13" t="s">
        <v>2735</v>
      </c>
      <c r="F84" s="13" t="s">
        <v>1010</v>
      </c>
      <c r="G84" s="13" t="s">
        <v>1524</v>
      </c>
      <c r="H84" s="13" t="s">
        <v>1514</v>
      </c>
      <c r="I84" s="13" t="s">
        <v>1009</v>
      </c>
    </row>
    <row r="85" spans="1:9" s="13" customFormat="1" ht="12.75" customHeight="1">
      <c r="C85" s="59"/>
      <c r="E85" s="35" t="s">
        <v>95</v>
      </c>
      <c r="F85" s="35">
        <f>COUNTA(F81:F84)</f>
        <v>4</v>
      </c>
    </row>
  </sheetData>
  <hyperlinks>
    <hyperlink ref="A76" r:id="rId1" display="http://www.westlaw.com/Find/Default.wl?rs=dfa1.0&amp;vr=2.0&amp;DB=506&amp;FindType=Y&amp;SerialNum=1995196121"/>
    <hyperlink ref="A41" r:id="rId2" display="http://www.westlaw.com/Find/Default.wl?rs=dfa1.0&amp;vr=2.0&amp;DB=506&amp;FindType=Y&amp;SerialNum=1996141501"/>
    <hyperlink ref="A42" r:id="rId3" display="http://www.westlaw.com/Find/Default.wl?rs=dfa1.0&amp;vr=2.0&amp;DB=506&amp;FindType=Y&amp;SerialNum=1995179464"/>
    <hyperlink ref="A19" r:id="rId4" display="http://www.westlaw.com/Find/Default.wl?rs=dfa1.0&amp;vr=2.0&amp;DB=506&amp;FindType=Y&amp;SerialNum=1995178651"/>
    <hyperlink ref="A28" r:id="rId5" display="http://www.westlaw.com/Find/Default.wl?rs=dfa1.0&amp;vr=2.0&amp;DB=506&amp;FindType=Y&amp;SerialNum=1995171982"/>
    <hyperlink ref="A43" r:id="rId6" display="http://www.westlaw.com/Find/Default.wl?rs=dfa1.0&amp;vr=2.0&amp;DB=506&amp;FindType=Y&amp;SerialNum=1995171070"/>
    <hyperlink ref="A44" r:id="rId7" display="http://www.westlaw.com/Find/Default.wl?rs=dfa1.0&amp;vr=2.0&amp;DB=506&amp;FindType=Y&amp;SerialNum=1995167928"/>
    <hyperlink ref="A73" r:id="rId8" display="http://www.westlaw.com/Find/Default.wl?rs=dfa1.0&amp;vr=2.0&amp;DB=506&amp;FindType=Y&amp;SerialNum=1995159643"/>
    <hyperlink ref="A34" r:id="rId9" display="http://www.westlaw.com/Find/Default.wl?rs=dfa1.0&amp;vr=2.0&amp;DB=506&amp;FindType=Y&amp;SerialNum=1995155526"/>
    <hyperlink ref="A45" r:id="rId10" display="http://www.westlaw.com/Find/Default.wl?rs=dfa1.0&amp;vr=2.0&amp;DB=506&amp;FindType=Y&amp;SerialNum=1995154822"/>
    <hyperlink ref="A20" r:id="rId11" display="http://www.westlaw.com/Find/Default.wl?rs=dfa1.0&amp;vr=2.0&amp;DB=506&amp;FindType=Y&amp;SerialNum=1995154248"/>
    <hyperlink ref="A46" r:id="rId12" display="http://www.westlaw.com/Find/Default.wl?rs=dfa1.0&amp;vr=2.0&amp;DB=506&amp;FindType=Y&amp;SerialNum=1995134564"/>
    <hyperlink ref="A47" r:id="rId13" display="http://www.westlaw.com/Find/Default.wl?rs=dfa1.0&amp;vr=2.0&amp;DB=506&amp;FindType=Y&amp;SerialNum=1995132376"/>
    <hyperlink ref="A48" r:id="rId14" display="http://www.westlaw.com/Find/Default.wl?rs=dfa1.0&amp;vr=2.0&amp;DB=506&amp;FindType=Y&amp;SerialNum=1995126253"/>
    <hyperlink ref="A49" r:id="rId15" display="http://www.westlaw.com/Find/Default.wl?rs=dfa1.0&amp;vr=2.0&amp;DB=506&amp;FindType=Y&amp;SerialNum=1995125036"/>
    <hyperlink ref="A50" r:id="rId16" display="http://www.westlaw.com/Find/Default.wl?rs=dfa1.0&amp;vr=2.0&amp;DB=506&amp;FindType=Y&amp;SerialNum=1995122714"/>
    <hyperlink ref="A21" r:id="rId17" display="http://www.westlaw.com/Find/Default.wl?rs=dfa1.0&amp;vr=2.0&amp;DB=506&amp;FindType=Y&amp;SerialNum=1995121574"/>
    <hyperlink ref="A51" r:id="rId18" display="http://www.westlaw.com/Find/Default.wl?rs=dfa1.0&amp;vr=2.0&amp;DB=506&amp;FindType=Y&amp;SerialNum=1995115636"/>
    <hyperlink ref="A52" r:id="rId19" display="http://www.westlaw.com/Find/Default.wl?rs=dfa1.0&amp;vr=2.0&amp;DB=506&amp;FindType=Y&amp;SerialNum=1995114224"/>
    <hyperlink ref="A53" r:id="rId20" display="http://www.westlaw.com/Find/Default.wl?rs=dfa1.0&amp;vr=2.0&amp;DB=506&amp;FindType=Y&amp;SerialNum=1995126251"/>
    <hyperlink ref="A54" r:id="rId21" display="http://www.westlaw.com/Find/Default.wl?rs=dfa1.0&amp;vr=2.0&amp;DB=506&amp;FindType=Y&amp;SerialNum=1995096841"/>
    <hyperlink ref="A55" r:id="rId22" display="http://www.westlaw.com/Find/Default.wl?rs=dfa1.0&amp;vr=2.0&amp;DB=506&amp;FindType=Y&amp;SerialNum=1995096842"/>
    <hyperlink ref="A56" r:id="rId23" display="http://www.westlaw.com/Find/Default.wl?rs=dfa1.0&amp;vr=2.0&amp;DB=506&amp;FindType=Y&amp;SerialNum=1995090053"/>
    <hyperlink ref="A57" r:id="rId24" display="http://www.westlaw.com/Find/Default.wl?rs=dfa1.0&amp;vr=2.0&amp;FindType=Y&amp;SerialNum=1995073153"/>
    <hyperlink ref="A58" r:id="rId25" display="http://www.westlaw.com/Find/Default.wl?rs=dfa1.0&amp;vr=2.0&amp;DB=506&amp;FindType=Y&amp;SerialNum=1995072235"/>
    <hyperlink ref="A59" r:id="rId26" display="http://www.westlaw.com/Find/Default.wl?rs=dfa1.0&amp;vr=2.0&amp;DB=506&amp;FindType=Y&amp;SerialNum=1995072236"/>
    <hyperlink ref="A37" r:id="rId27" display="http://www.westlaw.com/Find/Default.wl?rs=dfa1.0&amp;vr=2.0&amp;DB=506&amp;FindType=Y&amp;SerialNum=1995072366"/>
    <hyperlink ref="A60" r:id="rId28" display="http://www.westlaw.com/Find/Default.wl?rs=dfa1.0&amp;vr=2.0&amp;FindType=Y&amp;SerialNum=2006119534"/>
    <hyperlink ref="A61" r:id="rId29" display="http://www.westlaw.com/Find/Default.wl?rs=dfa1.0&amp;vr=2.0&amp;DB=506&amp;FindType=Y&amp;SerialNum=1995061869"/>
    <hyperlink ref="A62" r:id="rId30" display="http://www.westlaw.com/Find/Default.wl?rs=dfa1.0&amp;vr=2.0&amp;DB=506&amp;FindType=Y&amp;SerialNum=1995054435"/>
    <hyperlink ref="A63" r:id="rId31" display="http://www.westlaw.com/Find/Default.wl?rs=dfa1.0&amp;vr=2.0&amp;DB=506&amp;FindType=Y&amp;SerialNum=1995049503"/>
    <hyperlink ref="A64" r:id="rId32" display="http://www.westlaw.com/Find/Default.wl?rs=dfa1.0&amp;vr=2.0&amp;DB=506&amp;FindType=Y&amp;SerialNum=1995048652"/>
    <hyperlink ref="A72" r:id="rId33" display="http://www.westlaw.com/Find/Default.wl?rs=dfa1.0&amp;vr=2.0&amp;DB=506&amp;FindType=Y&amp;SerialNum=1995048698"/>
    <hyperlink ref="A38" r:id="rId34" display="http://www.westlaw.com/Find/Default.wl?rs=dfa1.0&amp;vr=2.0&amp;DB=506&amp;FindType=Y&amp;SerialNum=1995048710"/>
    <hyperlink ref="A33" r:id="rId35" display="http://www.westlaw.com/Find/Default.wl?rs=dfa1.0&amp;vr=2.0&amp;DB=506&amp;FindType=Y&amp;SerialNum=1995047192"/>
    <hyperlink ref="A77" r:id="rId36" display="http://www.westlaw.com/Find/Default.wl?rs=dfa1.0&amp;vr=2.0&amp;DB=506&amp;FindType=Y&amp;SerialNum=1995046202"/>
    <hyperlink ref="A22" r:id="rId37" display="http://www.westlaw.com/Find/Default.wl?rs=dfa1.0&amp;vr=2.0&amp;DB=506&amp;FindType=Y&amp;SerialNum=1995046207"/>
    <hyperlink ref="A65" r:id="rId38" display="http://www.westlaw.com/Find/Default.wl?rs=dfa1.0&amp;vr=2.0&amp;DB=506&amp;FindType=Y&amp;SerialNum=1995031248"/>
    <hyperlink ref="A29" r:id="rId39" display="http://www.westlaw.com/Find/Default.wl?rs=dfa1.0&amp;vr=2.0&amp;DB=506&amp;FindType=Y&amp;SerialNum=1995028491"/>
    <hyperlink ref="A66" r:id="rId40" display="http://www.westlaw.com/Find/Default.wl?rs=dfa1.0&amp;vr=2.0&amp;DB=506&amp;FindType=Y&amp;SerialNum=1995024039"/>
    <hyperlink ref="A30" r:id="rId41" display="http://www.westlaw.com/Find/Default.wl?rs=dfa1.0&amp;vr=2.0&amp;DB=506&amp;FindType=Y&amp;SerialNum=1994253325"/>
    <hyperlink ref="A23" r:id="rId42" display="http://www.westlaw.com/Find/Default.wl?rs=dfa1.0&amp;vr=2.0&amp;DB=506&amp;FindType=Y&amp;SerialNum=1994240217"/>
    <hyperlink ref="A67" r:id="rId43" display="http://www.westlaw.com/Find/Default.wl?rs=dfa1.0&amp;vr=2.0&amp;DB=506&amp;FindType=Y&amp;SerialNum=1994235590"/>
    <hyperlink ref="A24" r:id="rId44" display="http://www.westlaw.com/Find/Default.wl?rs=dfa1.0&amp;vr=2.0&amp;DB=506&amp;FindType=Y&amp;SerialNum=1994235591"/>
    <hyperlink ref="A68" r:id="rId45" display="http://www.westlaw.com/Find/Default.wl?rs=dfa1.0&amp;vr=2.0&amp;DB=506&amp;FindType=Y&amp;SerialNum=1994234391"/>
    <hyperlink ref="A69" r:id="rId46" display="http://www.westlaw.com/Find/Default.wl?rs=dfa1.0&amp;vr=2.0&amp;DB=506&amp;FindType=Y&amp;SerialNum=1994234060"/>
    <hyperlink ref="A25" r:id="rId47" display="http://www.westlaw.com/Find/Default.wl?rs=dfa1.0&amp;vr=2.0&amp;DB=506&amp;FindType=Y&amp;SerialNum=1994218978"/>
    <hyperlink ref="A70" r:id="rId48" display="http://www.westlaw.com/Find/Default.wl?rs=dfa1.0&amp;vr=2.0&amp;DB=506&amp;FindType=Y&amp;SerialNum=1994207896"/>
    <hyperlink ref="A71" r:id="rId49" display="http://www.westlaw.com/Find/Default.wl?rs=dfa1.0&amp;vr=2.0&amp;DB=506&amp;FindType=Y&amp;SerialNum=1994201840"/>
    <hyperlink ref="A81" r:id="rId50" display="http://www.westlaw.com/Find/Default.wl?rs=dfa1.0&amp;vr=2.0&amp;DB=506&amp;FindType=Y&amp;SerialNum=1995047192"/>
    <hyperlink ref="A82" r:id="rId51" display="http://www.westlaw.com/Find/Default.wl?rs=dfa1.0&amp;vr=2.0&amp;DB=1011&amp;FindType=Y&amp;SerialNum=1995157245"/>
    <hyperlink ref="A83" r:id="rId52" display="http://www.westlaw.com/Find/Default.wl?rs=dfa1.0&amp;vr=2.0&amp;DB=345&amp;FindType=Y&amp;SerialNum=1995140513"/>
    <hyperlink ref="A84" r:id="rId53" display="http://www.westlaw.com/Find/Default.wl?rs=dfa1.0&amp;vr=2.0&amp;FindType=Y&amp;SerialNum=1995145919"/>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85" zoomScaleNormal="85" zoomScalePageLayoutView="85" workbookViewId="0"/>
  </sheetViews>
  <sheetFormatPr baseColWidth="10" defaultColWidth="8.83203125" defaultRowHeight="14" x14ac:dyDescent="0"/>
  <cols>
    <col min="2" max="2" width="26.1640625" customWidth="1"/>
    <col min="3" max="3" width="10.6640625" customWidth="1"/>
    <col min="4" max="4" width="10.33203125" customWidth="1"/>
  </cols>
  <sheetData>
    <row r="1" spans="1:6">
      <c r="A1" s="11" t="s">
        <v>4431</v>
      </c>
      <c r="B1" s="12"/>
      <c r="C1" s="39">
        <v>34974</v>
      </c>
      <c r="D1" s="39">
        <v>35344</v>
      </c>
      <c r="E1" s="39"/>
      <c r="F1" s="39"/>
    </row>
    <row r="2" spans="1:6">
      <c r="A2" s="12"/>
      <c r="B2" s="12"/>
      <c r="C2" s="12"/>
    </row>
    <row r="3" spans="1:6">
      <c r="A3" s="12"/>
      <c r="B3" s="14" t="s">
        <v>24</v>
      </c>
      <c r="C3" s="15"/>
    </row>
    <row r="4" spans="1:6">
      <c r="A4" s="12"/>
      <c r="B4" s="16" t="s">
        <v>25</v>
      </c>
      <c r="C4" s="15">
        <f>D33</f>
        <v>12</v>
      </c>
    </row>
    <row r="5" spans="1:6">
      <c r="A5" s="12"/>
      <c r="B5" s="16" t="s">
        <v>26</v>
      </c>
      <c r="C5" s="15">
        <f>D29</f>
        <v>10</v>
      </c>
    </row>
    <row r="6" spans="1:6" ht="25">
      <c r="A6" s="12"/>
      <c r="B6" s="16" t="s">
        <v>27</v>
      </c>
      <c r="C6" s="15">
        <v>0</v>
      </c>
    </row>
    <row r="7" spans="1:6">
      <c r="A7" s="12"/>
      <c r="B7" s="16" t="s">
        <v>28</v>
      </c>
      <c r="C7" s="15">
        <v>0</v>
      </c>
    </row>
    <row r="8" spans="1:6">
      <c r="A8" s="12"/>
      <c r="B8" s="16" t="s">
        <v>29</v>
      </c>
      <c r="C8" s="15">
        <f>D37</f>
        <v>2</v>
      </c>
    </row>
    <row r="9" spans="1:6">
      <c r="A9" s="12"/>
      <c r="B9" s="16" t="s">
        <v>30</v>
      </c>
      <c r="C9" s="15">
        <f>D44</f>
        <v>5</v>
      </c>
    </row>
    <row r="10" spans="1:6">
      <c r="A10" s="12"/>
      <c r="B10" s="16" t="s">
        <v>14</v>
      </c>
      <c r="C10" s="15">
        <f>D48</f>
        <v>1</v>
      </c>
    </row>
    <row r="11" spans="1:6">
      <c r="A11" s="12"/>
      <c r="B11" s="16" t="s">
        <v>15</v>
      </c>
      <c r="C11" s="15">
        <v>0</v>
      </c>
    </row>
    <row r="12" spans="1:6">
      <c r="A12" s="12"/>
      <c r="B12" s="16" t="s">
        <v>31</v>
      </c>
      <c r="C12" s="15">
        <f>D75</f>
        <v>24</v>
      </c>
    </row>
    <row r="13" spans="1:6">
      <c r="A13" s="12"/>
      <c r="B13" s="16" t="s">
        <v>32</v>
      </c>
      <c r="C13" s="15">
        <v>0</v>
      </c>
    </row>
    <row r="14" spans="1:6" ht="25">
      <c r="A14" s="12"/>
      <c r="B14" s="16" t="s">
        <v>33</v>
      </c>
      <c r="C14" s="15">
        <v>0</v>
      </c>
    </row>
    <row r="15" spans="1:6">
      <c r="A15" s="12"/>
      <c r="B15" s="16" t="s">
        <v>4</v>
      </c>
      <c r="C15" s="17">
        <f>C4+C6+C7+C8+C9+C10+C11</f>
        <v>20</v>
      </c>
    </row>
    <row r="16" spans="1:6" ht="25">
      <c r="A16" s="12"/>
      <c r="B16" s="16" t="s">
        <v>34</v>
      </c>
      <c r="C16" s="15">
        <f>F92</f>
        <v>13</v>
      </c>
    </row>
    <row r="18" spans="1:9" s="13" customFormat="1" ht="42">
      <c r="A18" s="73" t="s">
        <v>35</v>
      </c>
      <c r="B18" s="73" t="s">
        <v>36</v>
      </c>
      <c r="C18" s="73" t="s">
        <v>37</v>
      </c>
      <c r="D18" s="73" t="s">
        <v>38</v>
      </c>
      <c r="E18" s="73" t="s">
        <v>39</v>
      </c>
      <c r="F18" s="73" t="s">
        <v>40</v>
      </c>
      <c r="G18" s="73" t="s">
        <v>41</v>
      </c>
      <c r="H18" s="73" t="s">
        <v>42</v>
      </c>
      <c r="I18" s="73" t="s">
        <v>1466</v>
      </c>
    </row>
    <row r="19" spans="1:9" s="13" customFormat="1" ht="12.75" customHeight="1">
      <c r="A19" s="74">
        <v>55</v>
      </c>
      <c r="B19" s="75" t="s">
        <v>4219</v>
      </c>
      <c r="C19" s="59" t="s">
        <v>4220</v>
      </c>
      <c r="D19" s="13" t="s">
        <v>1469</v>
      </c>
      <c r="E19" s="13" t="s">
        <v>1470</v>
      </c>
      <c r="F19" s="13" t="s">
        <v>1009</v>
      </c>
      <c r="G19" s="13" t="s">
        <v>2735</v>
      </c>
      <c r="H19" s="13" t="s">
        <v>2735</v>
      </c>
      <c r="I19" s="13" t="s">
        <v>2735</v>
      </c>
    </row>
    <row r="20" spans="1:9" s="13" customFormat="1" ht="12.75" customHeight="1">
      <c r="A20" s="74">
        <v>3</v>
      </c>
      <c r="B20" s="75" t="s">
        <v>4221</v>
      </c>
      <c r="C20" s="59" t="s">
        <v>4222</v>
      </c>
      <c r="D20" s="13" t="s">
        <v>1469</v>
      </c>
      <c r="E20" s="13" t="s">
        <v>1470</v>
      </c>
      <c r="F20" s="13" t="s">
        <v>1009</v>
      </c>
      <c r="G20" s="13" t="s">
        <v>2735</v>
      </c>
      <c r="H20" s="13" t="s">
        <v>2735</v>
      </c>
      <c r="I20" s="13" t="s">
        <v>2735</v>
      </c>
    </row>
    <row r="21" spans="1:9" s="13" customFormat="1" ht="12.75" customHeight="1">
      <c r="A21" s="74">
        <v>4</v>
      </c>
      <c r="B21" s="75" t="s">
        <v>4223</v>
      </c>
      <c r="C21" s="59" t="s">
        <v>4224</v>
      </c>
      <c r="D21" s="13" t="s">
        <v>1469</v>
      </c>
      <c r="E21" s="13" t="s">
        <v>1470</v>
      </c>
      <c r="F21" s="13" t="s">
        <v>1009</v>
      </c>
      <c r="G21" s="13" t="s">
        <v>2735</v>
      </c>
      <c r="H21" s="13" t="s">
        <v>2735</v>
      </c>
      <c r="I21" s="13" t="s">
        <v>2735</v>
      </c>
    </row>
    <row r="22" spans="1:9" s="13" customFormat="1" ht="12.75" customHeight="1">
      <c r="A22" s="74">
        <v>8</v>
      </c>
      <c r="B22" s="75" t="s">
        <v>4225</v>
      </c>
      <c r="C22" s="59" t="s">
        <v>4226</v>
      </c>
      <c r="D22" s="13" t="s">
        <v>1469</v>
      </c>
      <c r="E22" s="13" t="s">
        <v>1470</v>
      </c>
      <c r="F22" s="13" t="s">
        <v>1009</v>
      </c>
      <c r="G22" s="13" t="s">
        <v>2735</v>
      </c>
      <c r="H22" s="13" t="s">
        <v>2735</v>
      </c>
      <c r="I22" s="13" t="s">
        <v>2735</v>
      </c>
    </row>
    <row r="23" spans="1:9" s="13" customFormat="1" ht="12.75" customHeight="1">
      <c r="A23" s="74">
        <v>39</v>
      </c>
      <c r="B23" s="75" t="s">
        <v>4227</v>
      </c>
      <c r="C23" s="59" t="s">
        <v>4228</v>
      </c>
      <c r="D23" s="13" t="s">
        <v>1469</v>
      </c>
      <c r="E23" s="13" t="s">
        <v>1470</v>
      </c>
      <c r="F23" s="13" t="s">
        <v>1009</v>
      </c>
      <c r="G23" s="13" t="s">
        <v>2735</v>
      </c>
      <c r="H23" s="13" t="s">
        <v>2735</v>
      </c>
      <c r="I23" s="13" t="s">
        <v>2735</v>
      </c>
    </row>
    <row r="24" spans="1:9" s="13" customFormat="1" ht="12.75" customHeight="1">
      <c r="A24" s="74">
        <v>41</v>
      </c>
      <c r="B24" s="75" t="s">
        <v>4229</v>
      </c>
      <c r="C24" s="59" t="s">
        <v>4230</v>
      </c>
      <c r="D24" s="13" t="s">
        <v>1469</v>
      </c>
      <c r="E24" s="13" t="s">
        <v>1470</v>
      </c>
      <c r="F24" s="13" t="s">
        <v>1009</v>
      </c>
      <c r="G24" s="13" t="s">
        <v>2735</v>
      </c>
      <c r="H24" s="13" t="s">
        <v>2735</v>
      </c>
      <c r="I24" s="13" t="s">
        <v>2735</v>
      </c>
    </row>
    <row r="25" spans="1:9" s="13" customFormat="1" ht="12.75" customHeight="1">
      <c r="A25" s="74">
        <v>47</v>
      </c>
      <c r="B25" s="75" t="s">
        <v>4231</v>
      </c>
      <c r="C25" s="59" t="s">
        <v>4232</v>
      </c>
      <c r="D25" s="13" t="s">
        <v>1469</v>
      </c>
      <c r="E25" s="13" t="s">
        <v>1470</v>
      </c>
      <c r="F25" s="13" t="s">
        <v>1009</v>
      </c>
      <c r="G25" s="13" t="s">
        <v>2735</v>
      </c>
      <c r="H25" s="13" t="s">
        <v>2735</v>
      </c>
      <c r="I25" s="13" t="s">
        <v>2735</v>
      </c>
    </row>
    <row r="26" spans="1:9" s="13" customFormat="1" ht="12.75" customHeight="1">
      <c r="A26" s="74">
        <v>46</v>
      </c>
      <c r="B26" s="75" t="s">
        <v>4237</v>
      </c>
      <c r="C26" s="59" t="s">
        <v>4238</v>
      </c>
      <c r="D26" s="13" t="s">
        <v>1469</v>
      </c>
      <c r="E26" s="13" t="s">
        <v>2735</v>
      </c>
      <c r="F26" s="13" t="s">
        <v>1009</v>
      </c>
      <c r="G26" s="13" t="s">
        <v>2735</v>
      </c>
      <c r="H26" s="13" t="s">
        <v>2735</v>
      </c>
      <c r="I26" s="13" t="s">
        <v>2735</v>
      </c>
    </row>
    <row r="27" spans="1:9" s="13" customFormat="1" ht="12.75" customHeight="1">
      <c r="A27" s="74">
        <v>48</v>
      </c>
      <c r="B27" s="75" t="s">
        <v>4239</v>
      </c>
      <c r="C27" s="59" t="s">
        <v>4240</v>
      </c>
      <c r="D27" s="13" t="s">
        <v>1469</v>
      </c>
      <c r="E27" s="13" t="s">
        <v>2735</v>
      </c>
      <c r="F27" s="13" t="s">
        <v>1009</v>
      </c>
      <c r="G27" s="13" t="s">
        <v>2735</v>
      </c>
      <c r="H27" s="13" t="s">
        <v>2735</v>
      </c>
      <c r="I27" s="13" t="s">
        <v>2735</v>
      </c>
    </row>
    <row r="28" spans="1:9" s="13" customFormat="1" ht="12.75" customHeight="1">
      <c r="A28" s="74">
        <v>54</v>
      </c>
      <c r="B28" s="75" t="s">
        <v>4219</v>
      </c>
      <c r="C28" s="59" t="s">
        <v>4233</v>
      </c>
      <c r="D28" s="13" t="s">
        <v>1469</v>
      </c>
      <c r="E28" s="13" t="s">
        <v>1470</v>
      </c>
      <c r="F28" s="13" t="s">
        <v>1009</v>
      </c>
      <c r="G28" s="13" t="s">
        <v>2735</v>
      </c>
      <c r="H28" s="13" t="s">
        <v>2735</v>
      </c>
      <c r="I28" s="13" t="s">
        <v>2735</v>
      </c>
    </row>
    <row r="29" spans="1:9" s="13" customFormat="1" ht="12.75" customHeight="1">
      <c r="A29" s="74"/>
      <c r="B29" s="75"/>
      <c r="C29" s="60" t="s">
        <v>4234</v>
      </c>
      <c r="D29" s="35">
        <f>COUNTA(D19:D28)</f>
        <v>10</v>
      </c>
    </row>
    <row r="30" spans="1:9" s="13" customFormat="1" ht="12.75" customHeight="1">
      <c r="A30" s="74"/>
      <c r="B30" s="75"/>
      <c r="C30" s="59"/>
    </row>
    <row r="31" spans="1:9" s="13" customFormat="1" ht="12.75" customHeight="1">
      <c r="A31" s="74">
        <v>6</v>
      </c>
      <c r="B31" s="75" t="s">
        <v>4235</v>
      </c>
      <c r="C31" s="59" t="s">
        <v>4236</v>
      </c>
      <c r="D31" s="13" t="s">
        <v>1469</v>
      </c>
      <c r="E31" s="13" t="s">
        <v>2735</v>
      </c>
      <c r="F31" s="13" t="s">
        <v>1009</v>
      </c>
      <c r="G31" s="13" t="s">
        <v>2735</v>
      </c>
      <c r="H31" s="13" t="s">
        <v>2735</v>
      </c>
      <c r="I31" s="13" t="s">
        <v>2735</v>
      </c>
    </row>
    <row r="32" spans="1:9" s="13" customFormat="1" ht="12.75" customHeight="1">
      <c r="A32" s="74">
        <v>50</v>
      </c>
      <c r="B32" s="75" t="s">
        <v>4241</v>
      </c>
      <c r="C32" s="59" t="s">
        <v>4242</v>
      </c>
      <c r="D32" s="13" t="s">
        <v>1469</v>
      </c>
      <c r="E32" s="13" t="s">
        <v>2735</v>
      </c>
      <c r="F32" s="13" t="s">
        <v>1009</v>
      </c>
      <c r="G32" s="13" t="s">
        <v>2735</v>
      </c>
      <c r="H32" s="13" t="s">
        <v>2735</v>
      </c>
      <c r="I32" s="13" t="s">
        <v>2735</v>
      </c>
    </row>
    <row r="33" spans="1:9" s="13" customFormat="1" ht="12.75" customHeight="1">
      <c r="A33" s="74"/>
      <c r="B33" s="75"/>
      <c r="C33" s="60" t="s">
        <v>4243</v>
      </c>
      <c r="D33" s="35">
        <f>COUNTA(D31:D32)+D29</f>
        <v>12</v>
      </c>
    </row>
    <row r="34" spans="1:9" s="13" customFormat="1" ht="12.75" customHeight="1">
      <c r="A34" s="74"/>
      <c r="B34" s="75"/>
      <c r="C34" s="59"/>
    </row>
    <row r="35" spans="1:9" s="13" customFormat="1" ht="12.75" customHeight="1">
      <c r="A35" s="74">
        <v>31</v>
      </c>
      <c r="B35" s="75" t="s">
        <v>4244</v>
      </c>
      <c r="C35" s="59" t="s">
        <v>4245</v>
      </c>
      <c r="D35" s="13" t="s">
        <v>1514</v>
      </c>
      <c r="E35" s="13" t="s">
        <v>2735</v>
      </c>
      <c r="F35" s="13" t="s">
        <v>1009</v>
      </c>
      <c r="G35" s="13" t="s">
        <v>2735</v>
      </c>
      <c r="H35" s="13" t="s">
        <v>2735</v>
      </c>
      <c r="I35" s="13" t="s">
        <v>2735</v>
      </c>
    </row>
    <row r="36" spans="1:9" s="13" customFormat="1" ht="12.75" customHeight="1">
      <c r="A36" s="74">
        <v>37</v>
      </c>
      <c r="B36" s="75" t="s">
        <v>4246</v>
      </c>
      <c r="C36" s="59" t="s">
        <v>4247</v>
      </c>
      <c r="D36" s="13" t="s">
        <v>1514</v>
      </c>
      <c r="E36" s="13" t="s">
        <v>2735</v>
      </c>
      <c r="F36" s="13" t="s">
        <v>1009</v>
      </c>
      <c r="G36" s="13" t="s">
        <v>2735</v>
      </c>
      <c r="H36" s="13" t="s">
        <v>2735</v>
      </c>
      <c r="I36" s="13" t="s">
        <v>2735</v>
      </c>
    </row>
    <row r="37" spans="1:9" s="13" customFormat="1" ht="12.75" customHeight="1">
      <c r="A37" s="74"/>
      <c r="B37" s="75"/>
      <c r="C37" s="60" t="s">
        <v>95</v>
      </c>
      <c r="D37" s="35">
        <f>COUNTA(D35:D36)</f>
        <v>2</v>
      </c>
    </row>
    <row r="38" spans="1:9" s="13" customFormat="1" ht="12.75" customHeight="1">
      <c r="A38" s="74"/>
      <c r="B38" s="75"/>
      <c r="C38" s="59"/>
    </row>
    <row r="39" spans="1:9" s="13" customFormat="1" ht="12.75" customHeight="1">
      <c r="A39" s="74">
        <v>9</v>
      </c>
      <c r="B39" s="75" t="s">
        <v>2879</v>
      </c>
      <c r="C39" s="59" t="s">
        <v>4248</v>
      </c>
      <c r="D39" s="13" t="s">
        <v>1517</v>
      </c>
      <c r="E39" s="13" t="s">
        <v>2735</v>
      </c>
      <c r="F39" s="13" t="s">
        <v>1009</v>
      </c>
      <c r="G39" s="13" t="s">
        <v>2735</v>
      </c>
      <c r="H39" s="13" t="s">
        <v>2735</v>
      </c>
      <c r="I39" s="13" t="s">
        <v>2735</v>
      </c>
    </row>
    <row r="40" spans="1:9" s="13" customFormat="1" ht="12.75" customHeight="1">
      <c r="A40" s="74">
        <v>28</v>
      </c>
      <c r="B40" s="75" t="s">
        <v>4249</v>
      </c>
      <c r="C40" s="59" t="s">
        <v>4250</v>
      </c>
      <c r="D40" s="13" t="s">
        <v>1517</v>
      </c>
      <c r="E40" s="13" t="s">
        <v>2735</v>
      </c>
      <c r="F40" s="13" t="s">
        <v>1009</v>
      </c>
      <c r="G40" s="13" t="s">
        <v>2735</v>
      </c>
      <c r="H40" s="13" t="s">
        <v>2735</v>
      </c>
      <c r="I40" s="13" t="s">
        <v>2735</v>
      </c>
    </row>
    <row r="41" spans="1:9" s="13" customFormat="1" ht="12.75" customHeight="1">
      <c r="A41" s="74">
        <v>32</v>
      </c>
      <c r="B41" s="75" t="s">
        <v>4251</v>
      </c>
      <c r="C41" s="59" t="s">
        <v>4252</v>
      </c>
      <c r="D41" s="13" t="s">
        <v>1517</v>
      </c>
      <c r="E41" s="13" t="s">
        <v>2735</v>
      </c>
      <c r="F41" s="13" t="s">
        <v>1010</v>
      </c>
      <c r="G41" s="13" t="s">
        <v>1524</v>
      </c>
      <c r="H41" s="13" t="s">
        <v>1517</v>
      </c>
      <c r="I41" s="13" t="s">
        <v>1010</v>
      </c>
    </row>
    <row r="42" spans="1:9" s="13" customFormat="1" ht="12.75" customHeight="1">
      <c r="A42" s="74">
        <v>2</v>
      </c>
      <c r="B42" s="75" t="s">
        <v>4255</v>
      </c>
      <c r="C42" s="59" t="s">
        <v>4256</v>
      </c>
      <c r="D42" s="13" t="s">
        <v>1527</v>
      </c>
      <c r="E42" s="13" t="s">
        <v>2735</v>
      </c>
      <c r="F42" s="13" t="s">
        <v>1009</v>
      </c>
      <c r="G42" s="13" t="s">
        <v>2735</v>
      </c>
      <c r="H42" s="13" t="s">
        <v>2735</v>
      </c>
      <c r="I42" s="13" t="s">
        <v>2735</v>
      </c>
    </row>
    <row r="43" spans="1:9" s="13" customFormat="1" ht="12.75" customHeight="1">
      <c r="A43" s="74">
        <v>36</v>
      </c>
      <c r="B43" s="75" t="s">
        <v>4255</v>
      </c>
      <c r="C43" s="59" t="s">
        <v>4257</v>
      </c>
      <c r="D43" s="13" t="s">
        <v>1527</v>
      </c>
      <c r="E43" s="13" t="s">
        <v>2735</v>
      </c>
      <c r="F43" s="13" t="s">
        <v>1009</v>
      </c>
      <c r="G43" s="13" t="s">
        <v>2735</v>
      </c>
      <c r="H43" s="13" t="s">
        <v>2735</v>
      </c>
      <c r="I43" s="13" t="s">
        <v>2735</v>
      </c>
    </row>
    <row r="44" spans="1:9" s="13" customFormat="1" ht="12.75" customHeight="1">
      <c r="A44" s="74"/>
      <c r="B44" s="75"/>
      <c r="C44" s="60" t="s">
        <v>95</v>
      </c>
      <c r="D44" s="35">
        <f>COUNTA(D39:D43)</f>
        <v>5</v>
      </c>
    </row>
    <row r="45" spans="1:9" s="13" customFormat="1" ht="12.75" customHeight="1">
      <c r="A45" s="74"/>
      <c r="B45" s="75"/>
      <c r="C45" s="158"/>
      <c r="D45" s="159"/>
    </row>
    <row r="46" spans="1:9" s="13" customFormat="1" ht="12.75" customHeight="1">
      <c r="A46" s="74"/>
      <c r="B46" s="75"/>
      <c r="C46" s="158"/>
      <c r="D46" s="159"/>
    </row>
    <row r="47" spans="1:9" s="13" customFormat="1" ht="12.75" customHeight="1">
      <c r="A47" s="76">
        <v>30</v>
      </c>
      <c r="B47" s="75" t="s">
        <v>4253</v>
      </c>
      <c r="C47" s="59" t="s">
        <v>4254</v>
      </c>
      <c r="D47" s="13" t="s">
        <v>7110</v>
      </c>
      <c r="E47" s="13" t="s">
        <v>2735</v>
      </c>
      <c r="F47" s="13" t="s">
        <v>1010</v>
      </c>
      <c r="G47" s="13" t="s">
        <v>1524</v>
      </c>
      <c r="H47" s="13" t="s">
        <v>1527</v>
      </c>
      <c r="I47" s="13" t="s">
        <v>1010</v>
      </c>
    </row>
    <row r="48" spans="1:9" s="13" customFormat="1" ht="12.75" customHeight="1">
      <c r="A48" s="76"/>
      <c r="B48" s="75"/>
      <c r="C48" s="160" t="s">
        <v>95</v>
      </c>
      <c r="D48" s="161">
        <f>COUNTA(E47)</f>
        <v>1</v>
      </c>
    </row>
    <row r="49" spans="1:9" s="13" customFormat="1" ht="12.75" customHeight="1">
      <c r="A49" s="76"/>
      <c r="B49" s="75"/>
      <c r="C49" s="59"/>
    </row>
    <row r="50" spans="1:9" s="13" customFormat="1" ht="12.75" customHeight="1">
      <c r="A50" s="74"/>
      <c r="B50" s="75"/>
      <c r="C50" s="59"/>
    </row>
    <row r="51" spans="1:9" s="13" customFormat="1" ht="12.75" customHeight="1">
      <c r="A51" s="74">
        <v>4</v>
      </c>
      <c r="B51" s="75" t="s">
        <v>4258</v>
      </c>
      <c r="C51" s="59" t="s">
        <v>4259</v>
      </c>
      <c r="D51" s="13" t="s">
        <v>1473</v>
      </c>
      <c r="E51" s="13" t="s">
        <v>2735</v>
      </c>
      <c r="F51" s="13" t="s">
        <v>1009</v>
      </c>
      <c r="G51" s="13" t="s">
        <v>2735</v>
      </c>
      <c r="H51" s="13" t="s">
        <v>2735</v>
      </c>
      <c r="I51" s="13" t="s">
        <v>2735</v>
      </c>
    </row>
    <row r="52" spans="1:9" s="13" customFormat="1" ht="12.75" customHeight="1">
      <c r="A52" s="74">
        <v>7</v>
      </c>
      <c r="B52" s="75" t="s">
        <v>4260</v>
      </c>
      <c r="C52" s="59" t="s">
        <v>4261</v>
      </c>
      <c r="D52" s="13" t="s">
        <v>1473</v>
      </c>
      <c r="E52" s="13" t="s">
        <v>2735</v>
      </c>
      <c r="F52" s="13" t="s">
        <v>1009</v>
      </c>
      <c r="G52" s="13" t="s">
        <v>2735</v>
      </c>
      <c r="H52" s="13" t="s">
        <v>2735</v>
      </c>
      <c r="I52" s="13" t="s">
        <v>2735</v>
      </c>
    </row>
    <row r="53" spans="1:9" s="13" customFormat="1" ht="12.75" customHeight="1">
      <c r="A53" s="74">
        <v>8</v>
      </c>
      <c r="B53" s="75" t="s">
        <v>4262</v>
      </c>
      <c r="C53" s="59" t="s">
        <v>4263</v>
      </c>
      <c r="D53" s="13" t="s">
        <v>1473</v>
      </c>
      <c r="E53" s="13" t="s">
        <v>2735</v>
      </c>
      <c r="F53" s="13" t="s">
        <v>1009</v>
      </c>
      <c r="G53" s="13" t="s">
        <v>2735</v>
      </c>
      <c r="H53" s="13" t="s">
        <v>2735</v>
      </c>
      <c r="I53" s="13" t="s">
        <v>2735</v>
      </c>
    </row>
    <row r="54" spans="1:9" s="13" customFormat="1" ht="12.75" customHeight="1">
      <c r="A54" s="74">
        <v>10</v>
      </c>
      <c r="B54" s="75" t="s">
        <v>4264</v>
      </c>
      <c r="C54" s="59" t="s">
        <v>4265</v>
      </c>
      <c r="D54" s="13" t="s">
        <v>1473</v>
      </c>
      <c r="E54" s="13" t="s">
        <v>2735</v>
      </c>
      <c r="F54" s="13" t="s">
        <v>1009</v>
      </c>
      <c r="G54" s="13" t="s">
        <v>2735</v>
      </c>
      <c r="H54" s="13" t="s">
        <v>2735</v>
      </c>
      <c r="I54" s="13" t="s">
        <v>2735</v>
      </c>
    </row>
    <row r="55" spans="1:9" s="13" customFormat="1" ht="12.75" customHeight="1">
      <c r="A55" s="74">
        <v>5</v>
      </c>
      <c r="B55" s="75" t="s">
        <v>4266</v>
      </c>
      <c r="C55" s="59" t="s">
        <v>4267</v>
      </c>
      <c r="D55" s="13" t="s">
        <v>1473</v>
      </c>
      <c r="E55" s="13" t="s">
        <v>2735</v>
      </c>
      <c r="F55" s="13" t="s">
        <v>1009</v>
      </c>
      <c r="G55" s="13" t="s">
        <v>2735</v>
      </c>
      <c r="H55" s="13" t="s">
        <v>2735</v>
      </c>
      <c r="I55" s="13" t="s">
        <v>2735</v>
      </c>
    </row>
    <row r="56" spans="1:9" s="13" customFormat="1" ht="12.75" customHeight="1">
      <c r="A56" s="74">
        <v>7</v>
      </c>
      <c r="B56" s="75" t="s">
        <v>4268</v>
      </c>
      <c r="C56" s="59" t="s">
        <v>4269</v>
      </c>
      <c r="D56" s="13" t="s">
        <v>1473</v>
      </c>
      <c r="E56" s="13" t="s">
        <v>2735</v>
      </c>
      <c r="F56" s="13" t="s">
        <v>1009</v>
      </c>
      <c r="G56" s="13" t="s">
        <v>2735</v>
      </c>
      <c r="H56" s="13" t="s">
        <v>2735</v>
      </c>
      <c r="I56" s="13" t="s">
        <v>2735</v>
      </c>
    </row>
    <row r="57" spans="1:9" s="13" customFormat="1" ht="12.75" customHeight="1">
      <c r="A57" s="74">
        <v>20</v>
      </c>
      <c r="B57" s="75" t="s">
        <v>4270</v>
      </c>
      <c r="C57" s="59" t="s">
        <v>4271</v>
      </c>
      <c r="D57" s="13" t="s">
        <v>1473</v>
      </c>
      <c r="E57" s="13" t="s">
        <v>2735</v>
      </c>
      <c r="F57" s="13" t="s">
        <v>1009</v>
      </c>
      <c r="G57" s="13" t="s">
        <v>2735</v>
      </c>
      <c r="H57" s="13" t="s">
        <v>2735</v>
      </c>
      <c r="I57" s="13" t="s">
        <v>2735</v>
      </c>
    </row>
    <row r="58" spans="1:9" s="13" customFormat="1" ht="12.75" customHeight="1">
      <c r="A58" s="74">
        <v>22</v>
      </c>
      <c r="B58" s="75" t="s">
        <v>4272</v>
      </c>
      <c r="C58" s="59" t="s">
        <v>4273</v>
      </c>
      <c r="D58" s="13" t="s">
        <v>1473</v>
      </c>
      <c r="E58" s="13" t="s">
        <v>2735</v>
      </c>
      <c r="F58" s="13" t="s">
        <v>1009</v>
      </c>
      <c r="G58" s="13" t="s">
        <v>2735</v>
      </c>
      <c r="H58" s="13" t="s">
        <v>2735</v>
      </c>
      <c r="I58" s="13" t="s">
        <v>2735</v>
      </c>
    </row>
    <row r="59" spans="1:9" s="13" customFormat="1" ht="12.75" customHeight="1">
      <c r="A59" s="74">
        <v>24</v>
      </c>
      <c r="B59" s="75" t="s">
        <v>4274</v>
      </c>
      <c r="C59" s="59" t="s">
        <v>4275</v>
      </c>
      <c r="D59" s="13" t="s">
        <v>1473</v>
      </c>
      <c r="E59" s="13" t="s">
        <v>2735</v>
      </c>
      <c r="F59" s="13" t="s">
        <v>1009</v>
      </c>
      <c r="G59" s="13" t="s">
        <v>2735</v>
      </c>
      <c r="H59" s="13" t="s">
        <v>2735</v>
      </c>
      <c r="I59" s="13" t="s">
        <v>2735</v>
      </c>
    </row>
    <row r="60" spans="1:9" s="13" customFormat="1" ht="12.75" customHeight="1">
      <c r="A60" s="74">
        <v>25</v>
      </c>
      <c r="B60" s="75" t="s">
        <v>4276</v>
      </c>
      <c r="C60" s="59" t="s">
        <v>4277</v>
      </c>
      <c r="D60" s="13" t="s">
        <v>1473</v>
      </c>
      <c r="E60" s="13" t="s">
        <v>2735</v>
      </c>
      <c r="F60" s="13" t="s">
        <v>1009</v>
      </c>
      <c r="G60" s="13" t="s">
        <v>2735</v>
      </c>
      <c r="H60" s="13" t="s">
        <v>2735</v>
      </c>
      <c r="I60" s="13" t="s">
        <v>2735</v>
      </c>
    </row>
    <row r="61" spans="1:9" s="13" customFormat="1" ht="12.75" customHeight="1">
      <c r="A61" s="74">
        <v>29</v>
      </c>
      <c r="B61" s="75" t="s">
        <v>4278</v>
      </c>
      <c r="C61" s="59" t="s">
        <v>4279</v>
      </c>
      <c r="D61" s="13" t="s">
        <v>1473</v>
      </c>
      <c r="E61" s="13" t="s">
        <v>2735</v>
      </c>
      <c r="F61" s="13" t="s">
        <v>1009</v>
      </c>
      <c r="G61" s="13" t="s">
        <v>2735</v>
      </c>
      <c r="H61" s="13" t="s">
        <v>2735</v>
      </c>
      <c r="I61" s="13" t="s">
        <v>2735</v>
      </c>
    </row>
    <row r="62" spans="1:9" s="13" customFormat="1" ht="12.75" customHeight="1">
      <c r="A62" s="74">
        <v>33</v>
      </c>
      <c r="B62" s="75" t="s">
        <v>4280</v>
      </c>
      <c r="C62" s="59" t="s">
        <v>4281</v>
      </c>
      <c r="D62" s="13" t="s">
        <v>1473</v>
      </c>
      <c r="E62" s="13" t="s">
        <v>2735</v>
      </c>
      <c r="F62" s="13" t="s">
        <v>1009</v>
      </c>
      <c r="G62" s="13" t="s">
        <v>2735</v>
      </c>
      <c r="H62" s="13" t="s">
        <v>2735</v>
      </c>
      <c r="I62" s="13" t="s">
        <v>2735</v>
      </c>
    </row>
    <row r="63" spans="1:9" s="13" customFormat="1" ht="12.75" customHeight="1">
      <c r="A63" s="74">
        <v>34</v>
      </c>
      <c r="B63" s="75" t="s">
        <v>4282</v>
      </c>
      <c r="C63" s="59" t="s">
        <v>4283</v>
      </c>
      <c r="D63" s="13" t="s">
        <v>1473</v>
      </c>
      <c r="E63" s="13" t="s">
        <v>2735</v>
      </c>
      <c r="F63" s="13" t="s">
        <v>1009</v>
      </c>
      <c r="G63" s="13" t="s">
        <v>2735</v>
      </c>
      <c r="H63" s="13" t="s">
        <v>2735</v>
      </c>
      <c r="I63" s="13" t="s">
        <v>2735</v>
      </c>
    </row>
    <row r="64" spans="1:9" s="13" customFormat="1" ht="12.75" customHeight="1">
      <c r="A64" s="74">
        <v>35</v>
      </c>
      <c r="B64" s="75" t="s">
        <v>4284</v>
      </c>
      <c r="C64" s="59" t="s">
        <v>4285</v>
      </c>
      <c r="D64" s="13" t="s">
        <v>1473</v>
      </c>
      <c r="E64" s="13" t="s">
        <v>2735</v>
      </c>
      <c r="F64" s="13" t="s">
        <v>1009</v>
      </c>
      <c r="G64" s="13" t="s">
        <v>2735</v>
      </c>
      <c r="H64" s="13" t="s">
        <v>2735</v>
      </c>
      <c r="I64" s="13" t="s">
        <v>2735</v>
      </c>
    </row>
    <row r="65" spans="1:9" s="13" customFormat="1" ht="12.75" customHeight="1">
      <c r="A65" s="74">
        <v>38</v>
      </c>
      <c r="B65" s="75" t="s">
        <v>4286</v>
      </c>
      <c r="C65" s="59" t="s">
        <v>4287</v>
      </c>
      <c r="D65" s="13" t="s">
        <v>1473</v>
      </c>
      <c r="E65" s="13" t="s">
        <v>2735</v>
      </c>
      <c r="F65" s="13" t="s">
        <v>1009</v>
      </c>
      <c r="G65" s="13" t="s">
        <v>2735</v>
      </c>
      <c r="H65" s="13" t="s">
        <v>2735</v>
      </c>
      <c r="I65" s="13" t="s">
        <v>2735</v>
      </c>
    </row>
    <row r="66" spans="1:9" s="13" customFormat="1" ht="12.75" customHeight="1">
      <c r="A66" s="74">
        <v>40</v>
      </c>
      <c r="B66" s="75" t="s">
        <v>4288</v>
      </c>
      <c r="C66" s="59" t="s">
        <v>4289</v>
      </c>
      <c r="D66" s="13" t="s">
        <v>1473</v>
      </c>
      <c r="E66" s="13" t="s">
        <v>2735</v>
      </c>
      <c r="F66" s="13" t="s">
        <v>1009</v>
      </c>
      <c r="G66" s="13" t="s">
        <v>2735</v>
      </c>
      <c r="H66" s="13" t="s">
        <v>2735</v>
      </c>
      <c r="I66" s="13" t="s">
        <v>2735</v>
      </c>
    </row>
    <row r="67" spans="1:9" s="13" customFormat="1" ht="12.75" customHeight="1">
      <c r="A67" s="74">
        <v>42</v>
      </c>
      <c r="B67" s="75" t="s">
        <v>4290</v>
      </c>
      <c r="C67" s="59" t="s">
        <v>4291</v>
      </c>
      <c r="D67" s="13" t="s">
        <v>1473</v>
      </c>
      <c r="E67" s="13" t="s">
        <v>2735</v>
      </c>
      <c r="F67" s="13" t="s">
        <v>1009</v>
      </c>
      <c r="G67" s="13" t="s">
        <v>2735</v>
      </c>
      <c r="H67" s="13" t="s">
        <v>2735</v>
      </c>
      <c r="I67" s="13" t="s">
        <v>2735</v>
      </c>
    </row>
    <row r="68" spans="1:9" s="13" customFormat="1" ht="12.75" customHeight="1">
      <c r="A68" s="74">
        <v>45</v>
      </c>
      <c r="B68" s="75" t="s">
        <v>4292</v>
      </c>
      <c r="C68" s="59" t="s">
        <v>4293</v>
      </c>
      <c r="D68" s="13" t="s">
        <v>1473</v>
      </c>
      <c r="F68" s="13" t="s">
        <v>1009</v>
      </c>
      <c r="G68" s="13" t="s">
        <v>2735</v>
      </c>
      <c r="H68" s="13" t="s">
        <v>2735</v>
      </c>
      <c r="I68" s="13" t="s">
        <v>2735</v>
      </c>
    </row>
    <row r="69" spans="1:9" s="13" customFormat="1" ht="12.75" customHeight="1">
      <c r="A69" s="74">
        <v>49</v>
      </c>
      <c r="B69" s="75" t="s">
        <v>4294</v>
      </c>
      <c r="C69" s="59" t="s">
        <v>4295</v>
      </c>
      <c r="D69" s="13" t="s">
        <v>1473</v>
      </c>
      <c r="E69" s="13" t="s">
        <v>2735</v>
      </c>
      <c r="F69" s="13" t="s">
        <v>1009</v>
      </c>
      <c r="G69" s="13" t="s">
        <v>2735</v>
      </c>
      <c r="H69" s="13" t="s">
        <v>2735</v>
      </c>
      <c r="I69" s="13" t="s">
        <v>2735</v>
      </c>
    </row>
    <row r="70" spans="1:9" s="13" customFormat="1" ht="12.75" customHeight="1">
      <c r="A70" s="74">
        <v>52</v>
      </c>
      <c r="B70" s="75" t="s">
        <v>4296</v>
      </c>
      <c r="C70" s="59" t="s">
        <v>4297</v>
      </c>
      <c r="D70" s="13" t="s">
        <v>1473</v>
      </c>
      <c r="E70" s="13" t="s">
        <v>2735</v>
      </c>
      <c r="F70" s="13" t="s">
        <v>1009</v>
      </c>
      <c r="G70" s="13" t="s">
        <v>2735</v>
      </c>
      <c r="H70" s="13" t="s">
        <v>2735</v>
      </c>
      <c r="I70" s="13" t="s">
        <v>2735</v>
      </c>
    </row>
    <row r="71" spans="1:9" s="13" customFormat="1" ht="12.75" customHeight="1">
      <c r="A71" s="74">
        <v>53</v>
      </c>
      <c r="B71" s="75" t="s">
        <v>4298</v>
      </c>
      <c r="C71" s="59" t="s">
        <v>4299</v>
      </c>
      <c r="D71" s="13" t="s">
        <v>1473</v>
      </c>
      <c r="E71" s="13" t="s">
        <v>2735</v>
      </c>
      <c r="F71" s="13" t="s">
        <v>1009</v>
      </c>
      <c r="G71" s="13" t="s">
        <v>2735</v>
      </c>
      <c r="H71" s="13" t="s">
        <v>2735</v>
      </c>
      <c r="I71" s="13" t="s">
        <v>2735</v>
      </c>
    </row>
    <row r="72" spans="1:9" s="13" customFormat="1" ht="12.75" customHeight="1">
      <c r="A72" s="74">
        <v>26</v>
      </c>
      <c r="B72" s="75" t="s">
        <v>4300</v>
      </c>
      <c r="C72" s="59" t="s">
        <v>4301</v>
      </c>
      <c r="D72" s="13" t="s">
        <v>4302</v>
      </c>
      <c r="E72" s="13" t="s">
        <v>2735</v>
      </c>
      <c r="F72" s="13" t="s">
        <v>1009</v>
      </c>
      <c r="G72" s="13" t="s">
        <v>2735</v>
      </c>
      <c r="H72" s="13" t="s">
        <v>2735</v>
      </c>
      <c r="I72" s="13" t="s">
        <v>2735</v>
      </c>
    </row>
    <row r="73" spans="1:9" s="13" customFormat="1" ht="12.75" customHeight="1">
      <c r="A73" s="74">
        <v>27</v>
      </c>
      <c r="B73" s="75" t="s">
        <v>4303</v>
      </c>
      <c r="C73" s="59" t="s">
        <v>4304</v>
      </c>
      <c r="D73" s="13" t="s">
        <v>4302</v>
      </c>
      <c r="E73" s="13" t="s">
        <v>2735</v>
      </c>
      <c r="F73" s="13" t="s">
        <v>1009</v>
      </c>
      <c r="G73" s="13" t="s">
        <v>2735</v>
      </c>
      <c r="H73" s="13" t="s">
        <v>2735</v>
      </c>
      <c r="I73" s="13" t="s">
        <v>2735</v>
      </c>
    </row>
    <row r="74" spans="1:9" s="13" customFormat="1" ht="12.75" customHeight="1">
      <c r="A74" s="74">
        <v>43</v>
      </c>
      <c r="B74" s="75" t="s">
        <v>1787</v>
      </c>
      <c r="C74" s="59" t="s">
        <v>4305</v>
      </c>
      <c r="D74" s="13" t="s">
        <v>4302</v>
      </c>
      <c r="E74" s="13" t="s">
        <v>2735</v>
      </c>
      <c r="F74" s="13" t="s">
        <v>1009</v>
      </c>
      <c r="G74" s="13" t="s">
        <v>2735</v>
      </c>
      <c r="H74" s="13" t="s">
        <v>2735</v>
      </c>
      <c r="I74" s="13" t="s">
        <v>2735</v>
      </c>
    </row>
    <row r="75" spans="1:9" s="13" customFormat="1" ht="12.75" customHeight="1">
      <c r="C75" s="60" t="s">
        <v>95</v>
      </c>
      <c r="D75" s="35">
        <f>COUNTA(D51:D74)</f>
        <v>24</v>
      </c>
    </row>
    <row r="76" spans="1:9" s="13" customFormat="1" ht="12.75" customHeight="1">
      <c r="C76" s="59"/>
    </row>
    <row r="77" spans="1:9" s="13" customFormat="1" ht="12.75" customHeight="1">
      <c r="C77" s="59"/>
    </row>
    <row r="78" spans="1:9" s="13" customFormat="1" ht="42">
      <c r="A78" s="73" t="s">
        <v>35</v>
      </c>
      <c r="B78" s="73" t="s">
        <v>36</v>
      </c>
      <c r="C78" s="73" t="s">
        <v>37</v>
      </c>
      <c r="D78" s="73" t="s">
        <v>38</v>
      </c>
      <c r="E78" s="73" t="s">
        <v>39</v>
      </c>
      <c r="F78" s="73" t="s">
        <v>40</v>
      </c>
      <c r="G78" s="73" t="s">
        <v>41</v>
      </c>
      <c r="H78" s="73" t="s">
        <v>42</v>
      </c>
      <c r="I78" s="73" t="s">
        <v>1466</v>
      </c>
    </row>
    <row r="79" spans="1:9" s="13" customFormat="1" ht="12.75" customHeight="1">
      <c r="A79" s="74">
        <v>1</v>
      </c>
      <c r="B79" s="75" t="s">
        <v>4306</v>
      </c>
      <c r="C79" s="59" t="s">
        <v>4307</v>
      </c>
      <c r="D79" s="13" t="s">
        <v>2735</v>
      </c>
      <c r="E79" s="13" t="s">
        <v>2735</v>
      </c>
      <c r="F79" s="13" t="s">
        <v>1010</v>
      </c>
      <c r="G79" s="13" t="s">
        <v>1514</v>
      </c>
      <c r="H79" s="13" t="s">
        <v>1517</v>
      </c>
      <c r="I79" s="13" t="s">
        <v>1009</v>
      </c>
    </row>
    <row r="80" spans="1:9" s="13" customFormat="1" ht="12.75" customHeight="1">
      <c r="A80" s="74">
        <v>11</v>
      </c>
      <c r="B80" s="75" t="s">
        <v>4308</v>
      </c>
      <c r="C80" s="59" t="s">
        <v>4309</v>
      </c>
      <c r="D80" s="13" t="s">
        <v>2735</v>
      </c>
      <c r="E80" s="13" t="s">
        <v>2735</v>
      </c>
      <c r="F80" s="13" t="s">
        <v>1010</v>
      </c>
      <c r="G80" s="13" t="s">
        <v>1524</v>
      </c>
      <c r="H80" s="13" t="s">
        <v>1469</v>
      </c>
      <c r="I80" s="13" t="s">
        <v>1009</v>
      </c>
    </row>
    <row r="81" spans="1:9" s="13" customFormat="1" ht="12.75" customHeight="1">
      <c r="A81" s="74">
        <v>21</v>
      </c>
      <c r="B81" s="75" t="s">
        <v>4310</v>
      </c>
      <c r="C81" s="59" t="s">
        <v>4311</v>
      </c>
      <c r="D81" s="13" t="s">
        <v>2735</v>
      </c>
      <c r="E81" s="13" t="s">
        <v>2735</v>
      </c>
      <c r="F81" s="13" t="s">
        <v>1010</v>
      </c>
      <c r="G81" s="13" t="s">
        <v>1514</v>
      </c>
      <c r="H81" s="13" t="s">
        <v>1514</v>
      </c>
      <c r="I81" s="13" t="s">
        <v>1009</v>
      </c>
    </row>
    <row r="82" spans="1:9" s="13" customFormat="1" ht="12.75" customHeight="1">
      <c r="A82" s="74">
        <v>23</v>
      </c>
      <c r="B82" s="75" t="s">
        <v>4312</v>
      </c>
      <c r="C82" s="59" t="s">
        <v>4313</v>
      </c>
      <c r="D82" s="13" t="s">
        <v>2735</v>
      </c>
      <c r="E82" s="13" t="s">
        <v>2735</v>
      </c>
      <c r="F82" s="13" t="s">
        <v>1010</v>
      </c>
      <c r="G82" s="13" t="s">
        <v>1514</v>
      </c>
      <c r="H82" s="13" t="s">
        <v>1514</v>
      </c>
      <c r="I82" s="13" t="s">
        <v>1009</v>
      </c>
    </row>
    <row r="83" spans="1:9" s="13" customFormat="1" ht="12.75" customHeight="1">
      <c r="A83" s="76">
        <v>51</v>
      </c>
      <c r="B83" s="75" t="s">
        <v>4314</v>
      </c>
      <c r="C83" s="59" t="s">
        <v>4315</v>
      </c>
      <c r="D83" s="13" t="s">
        <v>2735</v>
      </c>
      <c r="E83" s="13" t="s">
        <v>2735</v>
      </c>
      <c r="F83" s="13" t="s">
        <v>1010</v>
      </c>
      <c r="G83" s="13" t="s">
        <v>1524</v>
      </c>
      <c r="H83" s="13" t="s">
        <v>1514</v>
      </c>
      <c r="I83" s="13" t="s">
        <v>1009</v>
      </c>
    </row>
    <row r="84" spans="1:9" s="13" customFormat="1" ht="12.75" customHeight="1">
      <c r="A84" s="76">
        <v>57</v>
      </c>
      <c r="B84" s="75" t="s">
        <v>4316</v>
      </c>
      <c r="C84" s="59" t="s">
        <v>4317</v>
      </c>
      <c r="D84" s="13" t="s">
        <v>2735</v>
      </c>
      <c r="E84" s="13" t="s">
        <v>2735</v>
      </c>
      <c r="F84" s="13" t="s">
        <v>1010</v>
      </c>
      <c r="G84" s="13" t="s">
        <v>1524</v>
      </c>
      <c r="H84" s="13" t="s">
        <v>1469</v>
      </c>
      <c r="I84" s="13" t="s">
        <v>1009</v>
      </c>
    </row>
    <row r="85" spans="1:9" s="13" customFormat="1" ht="12.75" customHeight="1">
      <c r="A85" s="74">
        <v>58</v>
      </c>
      <c r="B85" s="75" t="s">
        <v>4318</v>
      </c>
      <c r="C85" s="59" t="s">
        <v>4319</v>
      </c>
      <c r="D85" s="13" t="s">
        <v>2735</v>
      </c>
      <c r="E85" s="13" t="s">
        <v>2735</v>
      </c>
      <c r="F85" s="13" t="s">
        <v>1010</v>
      </c>
      <c r="G85" s="13" t="s">
        <v>1514</v>
      </c>
      <c r="H85" s="13" t="s">
        <v>1527</v>
      </c>
      <c r="I85" s="13" t="s">
        <v>1009</v>
      </c>
    </row>
    <row r="86" spans="1:9" s="13" customFormat="1" ht="12.75" customHeight="1">
      <c r="A86" s="74">
        <v>60</v>
      </c>
      <c r="B86" s="75" t="s">
        <v>4320</v>
      </c>
      <c r="C86" s="59" t="s">
        <v>4321</v>
      </c>
      <c r="D86" s="13" t="s">
        <v>2735</v>
      </c>
      <c r="E86" s="13" t="s">
        <v>2735</v>
      </c>
      <c r="F86" s="13" t="s">
        <v>1010</v>
      </c>
      <c r="G86" s="13" t="s">
        <v>1514</v>
      </c>
      <c r="H86" s="13" t="s">
        <v>1527</v>
      </c>
      <c r="I86" s="13" t="s">
        <v>1009</v>
      </c>
    </row>
    <row r="87" spans="1:9" s="13" customFormat="1" ht="12.75" customHeight="1">
      <c r="A87" s="74">
        <v>61</v>
      </c>
      <c r="B87" s="75" t="s">
        <v>4322</v>
      </c>
      <c r="C87" s="59" t="s">
        <v>4323</v>
      </c>
      <c r="D87" s="13" t="s">
        <v>2735</v>
      </c>
      <c r="E87" s="13" t="s">
        <v>2735</v>
      </c>
      <c r="F87" s="13" t="s">
        <v>1010</v>
      </c>
      <c r="G87" s="13" t="s">
        <v>1514</v>
      </c>
      <c r="H87" s="13" t="s">
        <v>1514</v>
      </c>
      <c r="I87" s="13" t="s">
        <v>1009</v>
      </c>
    </row>
    <row r="88" spans="1:9" s="13" customFormat="1" ht="12.75" customHeight="1">
      <c r="A88" s="76">
        <v>62</v>
      </c>
      <c r="B88" s="75" t="s">
        <v>4324</v>
      </c>
      <c r="C88" s="59" t="s">
        <v>4325</v>
      </c>
      <c r="D88" s="13" t="s">
        <v>2735</v>
      </c>
      <c r="E88" s="13" t="s">
        <v>2735</v>
      </c>
      <c r="F88" s="13" t="s">
        <v>1010</v>
      </c>
      <c r="G88" s="13" t="s">
        <v>1524</v>
      </c>
      <c r="H88" s="13" t="s">
        <v>1469</v>
      </c>
      <c r="I88" s="13" t="s">
        <v>1009</v>
      </c>
    </row>
    <row r="89" spans="1:9" s="13" customFormat="1" ht="12.75" customHeight="1">
      <c r="A89" s="74">
        <v>63</v>
      </c>
      <c r="B89" s="75" t="s">
        <v>4326</v>
      </c>
      <c r="C89" s="59" t="s">
        <v>4327</v>
      </c>
      <c r="D89" s="13" t="s">
        <v>2735</v>
      </c>
      <c r="E89" s="13" t="s">
        <v>2735</v>
      </c>
      <c r="F89" s="13" t="s">
        <v>1010</v>
      </c>
      <c r="G89" s="13" t="s">
        <v>1514</v>
      </c>
      <c r="H89" s="13" t="s">
        <v>1527</v>
      </c>
      <c r="I89" s="13" t="s">
        <v>1009</v>
      </c>
    </row>
    <row r="90" spans="1:9" s="13" customFormat="1" ht="12.75" customHeight="1">
      <c r="A90" s="74">
        <v>64</v>
      </c>
      <c r="B90" s="75" t="s">
        <v>4328</v>
      </c>
      <c r="C90" s="59" t="s">
        <v>4329</v>
      </c>
      <c r="D90" s="13" t="s">
        <v>2735</v>
      </c>
      <c r="E90" s="13" t="s">
        <v>2735</v>
      </c>
      <c r="F90" s="13" t="s">
        <v>1010</v>
      </c>
      <c r="G90" s="13" t="s">
        <v>1524</v>
      </c>
      <c r="H90" s="13" t="s">
        <v>1469</v>
      </c>
      <c r="I90" s="13" t="s">
        <v>1009</v>
      </c>
    </row>
    <row r="91" spans="1:9" s="13" customFormat="1" ht="12.75" customHeight="1">
      <c r="A91" s="74">
        <v>65</v>
      </c>
      <c r="B91" s="75" t="s">
        <v>4330</v>
      </c>
      <c r="C91" s="59" t="s">
        <v>4331</v>
      </c>
      <c r="D91" s="13" t="s">
        <v>2735</v>
      </c>
      <c r="F91" s="13" t="s">
        <v>1010</v>
      </c>
      <c r="G91" s="13" t="s">
        <v>1524</v>
      </c>
      <c r="H91" s="13" t="s">
        <v>1527</v>
      </c>
      <c r="I91" s="13" t="s">
        <v>1009</v>
      </c>
    </row>
    <row r="92" spans="1:9" s="13" customFormat="1" ht="12.75" customHeight="1">
      <c r="C92" s="59"/>
      <c r="E92" s="35" t="s">
        <v>95</v>
      </c>
      <c r="F92" s="35">
        <f>COUNTA(F79:F91)</f>
        <v>13</v>
      </c>
    </row>
  </sheetData>
  <hyperlinks>
    <hyperlink ref="A51" r:id="rId1" display="http://www.westlaw.com/Find/Default.wl?rs=dfa1.0&amp;vr=2.0&amp;DB=506&amp;FindType=Y&amp;SerialNum=1996208124"/>
    <hyperlink ref="A31" r:id="rId2" display="http://www.westlaw.com/Find/Default.wl?rs=dfa1.0&amp;vr=2.0&amp;DB=506&amp;FindType=Y&amp;SerialNum=1996197278"/>
    <hyperlink ref="A52" r:id="rId3" display="http://www.westlaw.com/Find/Default.wl?rs=dfa1.0&amp;vr=2.0&amp;DB=506&amp;FindType=Y&amp;SerialNum=1996197279"/>
    <hyperlink ref="A53" r:id="rId4" display="http://www.westlaw.com/Find/Default.wl?rs=dfa1.0&amp;vr=2.0&amp;DB=506&amp;FindType=Y&amp;SerialNum=1996197280"/>
    <hyperlink ref="A54" r:id="rId5" display="http://www.westlaw.com/Find/Default.wl?rs=dfa1.0&amp;vr=2.0&amp;DB=506&amp;FindType=Y&amp;SerialNum=1996173610"/>
    <hyperlink ref="A42" r:id="rId6" display="http://www.westlaw.com/Find/Default.wl?rs=dfa1.0&amp;vr=2.0&amp;DB=506&amp;FindType=Y&amp;SerialNum=1996172377"/>
    <hyperlink ref="A20" r:id="rId7" display="http://www.westlaw.com/Find/Default.wl?rs=dfa1.0&amp;vr=2.0&amp;DB=506&amp;FindType=Y&amp;SerialNum=1996170486"/>
    <hyperlink ref="A21" r:id="rId8" display="http://www.westlaw.com/Find/Default.wl?rs=dfa1.0&amp;vr=2.0&amp;DB=506&amp;FindType=Y&amp;SerialNum=1996170487"/>
    <hyperlink ref="A55" r:id="rId9" display="http://www.westlaw.com/Find/Default.wl?rs=dfa1.0&amp;vr=2.0&amp;DB=506&amp;FindType=Y&amp;SerialNum=1996170488"/>
    <hyperlink ref="A56" r:id="rId10" display="http://www.westlaw.com/Find/Default.wl?rs=dfa1.0&amp;vr=2.0&amp;DB=506&amp;FindType=Y&amp;SerialNum=1996170497"/>
    <hyperlink ref="A22" r:id="rId11" display="http://www.westlaw.com/Find/Default.wl?rs=dfa1.0&amp;vr=2.0&amp;DB=506&amp;FindType=Y&amp;SerialNum=1996163347"/>
    <hyperlink ref="A39" r:id="rId12" display="http://www.westlaw.com/Find/Default.wl?rs=dfa1.0&amp;vr=2.0&amp;DB=506&amp;FindType=Y&amp;SerialNum=1996163356"/>
    <hyperlink ref="A57" r:id="rId13" display="http://www.westlaw.com/Find/Default.wl?rs=dfa1.0&amp;vr=2.0&amp;DB=506&amp;FindType=Y&amp;SerialNum=1996156213"/>
    <hyperlink ref="A58" r:id="rId14" display="http://www.westlaw.com/Find/Default.wl?rs=dfa1.0&amp;vr=2.0&amp;DB=506&amp;FindType=Y&amp;SerialNum=1996150898"/>
    <hyperlink ref="A59" r:id="rId15" display="http://www.westlaw.com/Find/Default.wl?rs=dfa1.0&amp;vr=2.0&amp;DB=506&amp;FindType=Y&amp;SerialNum=1996150905"/>
    <hyperlink ref="A60" r:id="rId16" display="http://www.westlaw.com/Find/Default.wl?rs=dfa1.0&amp;vr=2.0&amp;DB=506&amp;FindType=Y&amp;SerialNum=1996140531"/>
    <hyperlink ref="A72" r:id="rId17" display="http://www.westlaw.com/Find/Default.wl?rs=dfa1.0&amp;vr=2.0&amp;DB=506&amp;FindType=Y&amp;SerialNum=1996140973"/>
    <hyperlink ref="A73" r:id="rId18" display="http://www.westlaw.com/Find/Default.wl?rs=dfa1.0&amp;vr=2.0&amp;DB=506&amp;FindType=Y&amp;SerialNum=1996141502"/>
    <hyperlink ref="A40" r:id="rId19" display="http://www.westlaw.com/Find/Default.wl?rs=dfa1.0&amp;vr=2.0&amp;DB=506&amp;FindType=Y&amp;SerialNum=1996141406"/>
    <hyperlink ref="A61" r:id="rId20" display="http://www.westlaw.com/Find/Default.wl?rs=dfa1.0&amp;vr=2.0&amp;DB=506&amp;FindType=Y&amp;SerialNum=1996123166"/>
    <hyperlink ref="A47" r:id="rId21" display="http://www.westlaw.com/Find/Default.wl?rs=dfa1.0&amp;vr=2.0&amp;DB=506&amp;FindType=Y&amp;SerialNum=1996113957"/>
    <hyperlink ref="A35" r:id="rId22" display="http://www.westlaw.com/Find/Default.wl?rs=dfa1.0&amp;vr=2.0&amp;DB=506&amp;FindType=Y&amp;SerialNum=1996109399"/>
    <hyperlink ref="A41" r:id="rId23" display="http://www.westlaw.com/Find/Default.wl?rs=dfa1.0&amp;vr=2.0&amp;DB=506&amp;FindType=Y&amp;SerialNum=1996084545"/>
    <hyperlink ref="A62" r:id="rId24" display="http://www.westlaw.com/Find/Default.wl?rs=dfa1.0&amp;vr=2.0&amp;DB=506&amp;FindType=Y&amp;SerialNum=1996069448"/>
    <hyperlink ref="A63" r:id="rId25" display="http://www.westlaw.com/Find/Default.wl?rs=dfa1.0&amp;vr=2.0&amp;DB=506&amp;FindType=Y&amp;SerialNum=1996069449"/>
    <hyperlink ref="A64" r:id="rId26" display="http://www.westlaw.com/Find/Default.wl?rs=dfa1.0&amp;vr=2.0&amp;DB=506&amp;FindType=Y&amp;SerialNum=1996053089"/>
    <hyperlink ref="A43" r:id="rId27" display="http://www.westlaw.com/Find/Default.wl?rs=dfa1.0&amp;vr=2.0&amp;DB=506&amp;FindType=Y&amp;SerialNum=1996047177"/>
    <hyperlink ref="A36" r:id="rId28" display="http://www.westlaw.com/Find/Default.wl?rs=dfa1.0&amp;vr=2.0&amp;DB=506&amp;FindType=Y&amp;SerialNum=1996042488"/>
    <hyperlink ref="A65" r:id="rId29" display="http://www.westlaw.com/Find/Default.wl?rs=dfa1.0&amp;vr=2.0&amp;DB=506&amp;FindType=Y&amp;SerialNum=1996042490"/>
    <hyperlink ref="A23" r:id="rId30" display="http://www.westlaw.com/Find/Default.wl?rs=dfa1.0&amp;vr=2.0&amp;DB=506&amp;FindType=Y&amp;SerialNum=1996041447"/>
    <hyperlink ref="A66" r:id="rId31" display="http://www.westlaw.com/Find/Default.wl?rs=dfa1.0&amp;vr=2.0&amp;DB=506&amp;FindType=Y&amp;SerialNum=1996032680"/>
    <hyperlink ref="A24" r:id="rId32" display="http://www.westlaw.com/Find/Default.wl?rs=dfa1.0&amp;vr=2.0&amp;DB=506&amp;FindType=Y&amp;SerialNum=1996029681"/>
    <hyperlink ref="A67" r:id="rId33" display="http://www.westlaw.com/Find/Default.wl?rs=dfa1.0&amp;vr=2.0&amp;DB=506&amp;FindType=Y&amp;SerialNum=1996029685"/>
    <hyperlink ref="A74" r:id="rId34" display="http://www.westlaw.com/Find/Default.wl?rs=dfa1.0&amp;vr=2.0&amp;DB=506&amp;FindType=Y&amp;SerialNum=1996028069"/>
    <hyperlink ref="A68" r:id="rId35" display="http://www.westlaw.com/Find/Default.wl?rs=dfa1.0&amp;vr=2.0&amp;DB=506&amp;FindType=Y&amp;SerialNum=1995252949"/>
    <hyperlink ref="A26" r:id="rId36" display="http://www.westlaw.com/Find/Default.wl?rs=dfa1.0&amp;vr=2.0&amp;DB=506&amp;FindType=Y&amp;SerialNum=1995252955"/>
    <hyperlink ref="A25" r:id="rId37" display="http://www.westlaw.com/Find/Default.wl?rs=dfa1.0&amp;vr=2.0&amp;DB=506&amp;FindType=Y&amp;SerialNum=1995252956"/>
    <hyperlink ref="A27" r:id="rId38" display="http://www.westlaw.com/Find/Default.wl?rs=dfa1.0&amp;vr=2.0&amp;DB=506&amp;FindType=Y&amp;SerialNum=1995251181"/>
    <hyperlink ref="A69" r:id="rId39" display="http://www.westlaw.com/Find/Default.wl?rs=dfa1.0&amp;vr=2.0&amp;DB=506&amp;FindType=Y&amp;SerialNum=1995243331"/>
    <hyperlink ref="A32" r:id="rId40" display="http://www.westlaw.com/Find/Default.wl?rs=dfa1.0&amp;vr=2.0&amp;DB=506&amp;FindType=Y&amp;SerialNum=1995230562"/>
    <hyperlink ref="A70" r:id="rId41" display="http://www.westlaw.com/Find/Default.wl?rs=dfa1.0&amp;vr=2.0&amp;DB=506&amp;FindType=Y&amp;SerialNum=1995211616"/>
    <hyperlink ref="A71" r:id="rId42" display="http://www.westlaw.com/Find/Default.wl?rs=dfa1.0&amp;vr=2.0&amp;DB=506&amp;FindType=Y&amp;SerialNum=1995210794"/>
    <hyperlink ref="A28" r:id="rId43" display="http://www.westlaw.com/Find/Default.wl?rs=dfa1.0&amp;vr=2.0&amp;DB=506&amp;FindType=Y&amp;SerialNum=1995209578"/>
    <hyperlink ref="A19" r:id="rId44" display="http://www.westlaw.com/Find/Default.wl?rs=dfa1.0&amp;vr=2.0&amp;DB=506&amp;FindType=Y&amp;SerialNum=1995209579"/>
    <hyperlink ref="A79" r:id="rId45" display="http://www.westlaw.com/Find/Default.wl?rs=dfa1.0&amp;vr=2.0&amp;DB=780&amp;FindType=Y&amp;SerialNum=1996113129"/>
    <hyperlink ref="A80" r:id="rId46" display="http://www.westlaw.com/Find/Default.wl?rs=dfa1.0&amp;vr=2.0&amp;DB=506&amp;FindType=Y&amp;SerialNum=1996172376"/>
    <hyperlink ref="A81" r:id="rId47" display="http://www.westlaw.com/Find/Default.wl?rs=dfa1.0&amp;vr=2.0&amp;DB=506&amp;FindType=Y&amp;SerialNum=1996154933"/>
    <hyperlink ref="A82" r:id="rId48" display="http://www.westlaw.com/Find/Default.wl?rs=dfa1.0&amp;vr=2.0&amp;DB=506&amp;FindType=Y&amp;SerialNum=1996150897"/>
    <hyperlink ref="A83" r:id="rId49" display="http://www.westlaw.com/Find/Default.wl?rs=dfa1.0&amp;vr=2.0&amp;DB=506&amp;FindType=Y&amp;SerialNum=1995219752"/>
    <hyperlink ref="A84" r:id="rId50" display="http://www.westlaw.com/Find/Default.wl?rs=dfa1.0&amp;vr=2.0&amp;DB=170&amp;FindType=Y&amp;SerialNum=1996215002"/>
    <hyperlink ref="A85" r:id="rId51" display="http://www.westlaw.com/Find/Default.wl?rs=dfa1.0&amp;vr=2.0&amp;DB=345&amp;FindType=Y&amp;SerialNum=1996152089"/>
    <hyperlink ref="A86" r:id="rId52" display="http://www.westlaw.com/Find/Default.wl?rs=dfa1.0&amp;vr=2.0&amp;DB=345&amp;FindType=Y&amp;SerialNum=1996159721"/>
    <hyperlink ref="A87" r:id="rId53" display="http://www.westlaw.com/Find/Default.wl?rs=dfa1.0&amp;vr=2.0&amp;DB=1011&amp;FindType=Y&amp;SerialNum=1996094766"/>
    <hyperlink ref="A88" r:id="rId54" display="http://www.westlaw.com/Find/Default.wl?rs=dfa1.0&amp;vr=2.0&amp;DB=345&amp;FindType=Y&amp;SerialNum=1996108278"/>
    <hyperlink ref="A89" r:id="rId55" display="http://www.westlaw.com/Find/Default.wl?rs=dfa1.0&amp;vr=2.0&amp;DB=164&amp;FindType=Y&amp;SerialNum=1996086203"/>
    <hyperlink ref="A90" r:id="rId56" display="http://www.westlaw.com/Find/Default.wl?rs=dfa1.0&amp;vr=2.0&amp;FindType=Y&amp;SerialNum=1996063695"/>
    <hyperlink ref="A91" r:id="rId57" display="http://www.westlaw.com/Find/Default.wl?rs=dfa1.0&amp;vr=2.0&amp;DB=345&amp;FindType=Y&amp;SerialNum=1996024727"/>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zoomScale="70" zoomScaleNormal="70" zoomScalePageLayoutView="70" workbookViewId="0"/>
  </sheetViews>
  <sheetFormatPr baseColWidth="10" defaultColWidth="8.83203125" defaultRowHeight="14" x14ac:dyDescent="0"/>
  <cols>
    <col min="2" max="2" width="35.5" customWidth="1"/>
    <col min="3" max="3" width="34.5" customWidth="1"/>
  </cols>
  <sheetData>
    <row r="1" spans="1:6">
      <c r="A1" s="11" t="s">
        <v>2644</v>
      </c>
      <c r="B1" s="12"/>
      <c r="C1" s="12"/>
      <c r="E1" s="39"/>
      <c r="F1" s="39"/>
    </row>
    <row r="2" spans="1:6">
      <c r="A2" s="12"/>
      <c r="B2" s="12"/>
      <c r="C2" s="12"/>
    </row>
    <row r="3" spans="1:6">
      <c r="A3" s="12"/>
      <c r="B3" s="14" t="s">
        <v>24</v>
      </c>
      <c r="C3" s="15"/>
    </row>
    <row r="4" spans="1:6">
      <c r="A4" s="12"/>
      <c r="B4" s="16" t="s">
        <v>25</v>
      </c>
      <c r="C4" s="15">
        <f>D35</f>
        <v>13</v>
      </c>
    </row>
    <row r="5" spans="1:6">
      <c r="A5" s="12"/>
      <c r="B5" s="16" t="s">
        <v>26</v>
      </c>
      <c r="C5" s="15">
        <f>D31</f>
        <v>11</v>
      </c>
    </row>
    <row r="6" spans="1:6">
      <c r="A6" s="12"/>
      <c r="B6" s="16" t="s">
        <v>27</v>
      </c>
      <c r="C6" s="15">
        <v>0</v>
      </c>
    </row>
    <row r="7" spans="1:6">
      <c r="A7" s="12"/>
      <c r="B7" s="16" t="s">
        <v>28</v>
      </c>
      <c r="C7" s="15">
        <v>0</v>
      </c>
    </row>
    <row r="8" spans="1:6">
      <c r="A8" s="12"/>
      <c r="B8" s="16" t="s">
        <v>29</v>
      </c>
      <c r="C8" s="15">
        <f>D39</f>
        <v>1</v>
      </c>
    </row>
    <row r="9" spans="1:6">
      <c r="A9" s="12"/>
      <c r="B9" s="16" t="s">
        <v>30</v>
      </c>
      <c r="C9" s="15">
        <f>D53</f>
        <v>12</v>
      </c>
    </row>
    <row r="10" spans="1:6">
      <c r="A10" s="12"/>
      <c r="B10" s="16" t="s">
        <v>14</v>
      </c>
      <c r="C10" s="15">
        <v>0</v>
      </c>
    </row>
    <row r="11" spans="1:6">
      <c r="A11" s="12"/>
      <c r="B11" s="16" t="s">
        <v>15</v>
      </c>
      <c r="C11" s="15">
        <v>0</v>
      </c>
    </row>
    <row r="12" spans="1:6">
      <c r="A12" s="12"/>
      <c r="B12" s="16" t="s">
        <v>31</v>
      </c>
      <c r="C12" s="15">
        <f>D85</f>
        <v>29</v>
      </c>
    </row>
    <row r="13" spans="1:6">
      <c r="A13" s="12"/>
      <c r="B13" s="16" t="s">
        <v>32</v>
      </c>
      <c r="C13" s="15">
        <v>0</v>
      </c>
    </row>
    <row r="14" spans="1:6">
      <c r="A14" s="12"/>
      <c r="B14" s="16" t="s">
        <v>33</v>
      </c>
      <c r="C14" s="15">
        <v>0</v>
      </c>
    </row>
    <row r="15" spans="1:6">
      <c r="A15" s="12"/>
      <c r="B15" s="16" t="s">
        <v>4</v>
      </c>
      <c r="C15" s="17">
        <f>C4+C6+C7+C8+C9+C10+C11</f>
        <v>26</v>
      </c>
    </row>
    <row r="16" spans="1:6">
      <c r="A16" s="12"/>
      <c r="B16" s="16" t="s">
        <v>34</v>
      </c>
      <c r="C16" s="15">
        <f>F103</f>
        <v>15</v>
      </c>
    </row>
    <row r="19" spans="1:9" s="13" customFormat="1" ht="42">
      <c r="A19" s="61" t="s">
        <v>35</v>
      </c>
      <c r="B19" s="61" t="s">
        <v>36</v>
      </c>
      <c r="C19" s="61" t="s">
        <v>37</v>
      </c>
      <c r="D19" s="61" t="s">
        <v>38</v>
      </c>
      <c r="E19" s="61" t="s">
        <v>39</v>
      </c>
      <c r="F19" s="61" t="s">
        <v>40</v>
      </c>
      <c r="G19" s="61" t="s">
        <v>41</v>
      </c>
      <c r="H19" s="61" t="s">
        <v>42</v>
      </c>
      <c r="I19" s="61" t="s">
        <v>1466</v>
      </c>
    </row>
    <row r="20" spans="1:9" s="13" customFormat="1" ht="42">
      <c r="A20" s="58">
        <v>5</v>
      </c>
      <c r="B20" s="13" t="s">
        <v>453</v>
      </c>
      <c r="C20" s="59" t="s">
        <v>2505</v>
      </c>
      <c r="D20" s="13" t="s">
        <v>1469</v>
      </c>
      <c r="E20" s="13" t="s">
        <v>1470</v>
      </c>
      <c r="F20" s="13" t="s">
        <v>1009</v>
      </c>
    </row>
    <row r="21" spans="1:9" s="13" customFormat="1" ht="28">
      <c r="A21" s="58">
        <v>14</v>
      </c>
      <c r="B21" s="13" t="s">
        <v>2506</v>
      </c>
      <c r="C21" s="59" t="s">
        <v>2507</v>
      </c>
      <c r="D21" s="13" t="s">
        <v>1469</v>
      </c>
      <c r="E21" s="13" t="s">
        <v>1470</v>
      </c>
      <c r="F21" s="13" t="s">
        <v>1009</v>
      </c>
    </row>
    <row r="22" spans="1:9" s="13" customFormat="1" ht="42">
      <c r="A22" s="58">
        <v>17</v>
      </c>
      <c r="B22" s="13" t="s">
        <v>2508</v>
      </c>
      <c r="C22" s="59" t="s">
        <v>2509</v>
      </c>
      <c r="D22" s="13" t="s">
        <v>1469</v>
      </c>
      <c r="E22" s="13" t="s">
        <v>1470</v>
      </c>
      <c r="F22" s="13" t="s">
        <v>1009</v>
      </c>
    </row>
    <row r="23" spans="1:9" s="13" customFormat="1" ht="56">
      <c r="A23" s="58">
        <v>18</v>
      </c>
      <c r="B23" s="13" t="s">
        <v>2510</v>
      </c>
      <c r="C23" s="59" t="s">
        <v>2511</v>
      </c>
      <c r="D23" s="13" t="s">
        <v>1469</v>
      </c>
      <c r="E23" s="13" t="s">
        <v>1470</v>
      </c>
      <c r="F23" s="13" t="s">
        <v>1009</v>
      </c>
    </row>
    <row r="24" spans="1:9" s="13" customFormat="1" ht="42">
      <c r="A24" s="58">
        <v>24</v>
      </c>
      <c r="B24" s="13" t="s">
        <v>2512</v>
      </c>
      <c r="C24" s="59" t="s">
        <v>2513</v>
      </c>
      <c r="D24" s="13" t="s">
        <v>1469</v>
      </c>
      <c r="E24" s="13" t="s">
        <v>1470</v>
      </c>
      <c r="F24" s="13" t="s">
        <v>1009</v>
      </c>
    </row>
    <row r="25" spans="1:9" s="13" customFormat="1" ht="28">
      <c r="A25" s="58">
        <v>29</v>
      </c>
      <c r="B25" s="13" t="s">
        <v>2514</v>
      </c>
      <c r="C25" s="59" t="s">
        <v>2515</v>
      </c>
      <c r="D25" s="13" t="s">
        <v>1469</v>
      </c>
      <c r="E25" s="13" t="s">
        <v>1470</v>
      </c>
      <c r="F25" s="13" t="s">
        <v>1009</v>
      </c>
    </row>
    <row r="26" spans="1:9" s="13" customFormat="1" ht="70">
      <c r="A26" s="58">
        <v>34</v>
      </c>
      <c r="B26" s="13" t="s">
        <v>2516</v>
      </c>
      <c r="C26" s="59" t="s">
        <v>2517</v>
      </c>
      <c r="D26" s="13" t="s">
        <v>1469</v>
      </c>
      <c r="E26" s="13" t="s">
        <v>1470</v>
      </c>
      <c r="F26" s="13" t="s">
        <v>1009</v>
      </c>
    </row>
    <row r="27" spans="1:9" s="13" customFormat="1" ht="70">
      <c r="A27" s="58">
        <v>52</v>
      </c>
      <c r="B27" s="13" t="s">
        <v>2518</v>
      </c>
      <c r="C27" s="59" t="s">
        <v>2519</v>
      </c>
      <c r="D27" s="13" t="s">
        <v>1469</v>
      </c>
      <c r="E27" s="13" t="s">
        <v>1470</v>
      </c>
      <c r="F27" s="13" t="s">
        <v>1009</v>
      </c>
    </row>
    <row r="28" spans="1:9" s="13" customFormat="1" ht="56">
      <c r="A28" s="58">
        <v>53</v>
      </c>
      <c r="B28" s="13" t="s">
        <v>2520</v>
      </c>
      <c r="C28" s="59" t="s">
        <v>2521</v>
      </c>
      <c r="D28" s="13" t="s">
        <v>1469</v>
      </c>
      <c r="E28" s="13" t="s">
        <v>1470</v>
      </c>
      <c r="F28" s="13" t="s">
        <v>1009</v>
      </c>
    </row>
    <row r="29" spans="1:9" s="13" customFormat="1" ht="42">
      <c r="A29" s="58">
        <v>56</v>
      </c>
      <c r="B29" s="13" t="s">
        <v>2522</v>
      </c>
      <c r="C29" s="59" t="s">
        <v>2523</v>
      </c>
      <c r="D29" s="13" t="s">
        <v>1469</v>
      </c>
      <c r="E29" s="13" t="s">
        <v>1470</v>
      </c>
      <c r="F29" s="13" t="s">
        <v>1009</v>
      </c>
    </row>
    <row r="30" spans="1:9" s="13" customFormat="1" ht="28">
      <c r="A30" s="58">
        <v>58</v>
      </c>
      <c r="B30" s="13" t="s">
        <v>2524</v>
      </c>
      <c r="C30" s="59" t="s">
        <v>2525</v>
      </c>
      <c r="D30" s="13" t="s">
        <v>1469</v>
      </c>
      <c r="E30" s="13" t="s">
        <v>1470</v>
      </c>
      <c r="F30" s="13" t="s">
        <v>1009</v>
      </c>
    </row>
    <row r="31" spans="1:9" s="13" customFormat="1">
      <c r="A31" s="58"/>
      <c r="C31" s="60" t="s">
        <v>2526</v>
      </c>
      <c r="D31" s="35">
        <f>COUNTA(D20:D30)</f>
        <v>11</v>
      </c>
    </row>
    <row r="32" spans="1:9" s="13" customFormat="1">
      <c r="A32" s="58"/>
      <c r="C32" s="59"/>
    </row>
    <row r="33" spans="1:9" s="13" customFormat="1" ht="42">
      <c r="A33" s="58">
        <v>12</v>
      </c>
      <c r="B33" s="13" t="s">
        <v>2527</v>
      </c>
      <c r="C33" s="59" t="s">
        <v>2528</v>
      </c>
      <c r="D33" s="13" t="s">
        <v>1469</v>
      </c>
      <c r="E33" s="34"/>
      <c r="F33" s="13" t="s">
        <v>1009</v>
      </c>
    </row>
    <row r="34" spans="1:9" s="13" customFormat="1" ht="70">
      <c r="A34" s="58">
        <v>37</v>
      </c>
      <c r="B34" s="13" t="s">
        <v>2529</v>
      </c>
      <c r="C34" s="59" t="s">
        <v>2530</v>
      </c>
      <c r="D34" s="13" t="s">
        <v>1469</v>
      </c>
      <c r="F34" s="13" t="s">
        <v>1009</v>
      </c>
    </row>
    <row r="35" spans="1:9" s="13" customFormat="1">
      <c r="A35" s="58"/>
      <c r="C35" s="60" t="s">
        <v>2531</v>
      </c>
      <c r="D35" s="35">
        <f>COUNTA(D33:D34)+D31</f>
        <v>13</v>
      </c>
    </row>
    <row r="36" spans="1:9" s="13" customFormat="1">
      <c r="A36" s="58"/>
      <c r="C36" s="59"/>
    </row>
    <row r="37" spans="1:9" s="13" customFormat="1">
      <c r="A37" s="58"/>
      <c r="C37" s="59"/>
    </row>
    <row r="38" spans="1:9" s="13" customFormat="1" ht="42">
      <c r="A38" s="58">
        <v>27</v>
      </c>
      <c r="B38" s="13" t="s">
        <v>2532</v>
      </c>
      <c r="C38" s="59" t="s">
        <v>2533</v>
      </c>
      <c r="D38" s="13" t="s">
        <v>1514</v>
      </c>
      <c r="F38" s="13" t="s">
        <v>1009</v>
      </c>
    </row>
    <row r="39" spans="1:9" s="13" customFormat="1">
      <c r="A39" s="58"/>
      <c r="C39" s="60" t="s">
        <v>95</v>
      </c>
      <c r="D39" s="35">
        <f>COUNTA(D38)</f>
        <v>1</v>
      </c>
    </row>
    <row r="40" spans="1:9" s="13" customFormat="1">
      <c r="A40" s="58"/>
      <c r="C40" s="59"/>
    </row>
    <row r="41" spans="1:9" s="13" customFormat="1" ht="42">
      <c r="A41" s="58">
        <v>9</v>
      </c>
      <c r="B41" s="13" t="s">
        <v>2534</v>
      </c>
      <c r="C41" s="59" t="s">
        <v>2535</v>
      </c>
      <c r="D41" s="13" t="s">
        <v>1517</v>
      </c>
      <c r="F41" s="13" t="s">
        <v>1009</v>
      </c>
    </row>
    <row r="42" spans="1:9" s="13" customFormat="1" ht="28">
      <c r="A42" s="58">
        <v>48</v>
      </c>
      <c r="B42" s="13" t="s">
        <v>2536</v>
      </c>
      <c r="C42" s="59" t="s">
        <v>2537</v>
      </c>
      <c r="D42" s="13" t="s">
        <v>1517</v>
      </c>
      <c r="F42" s="13" t="s">
        <v>1010</v>
      </c>
      <c r="G42" s="34" t="s">
        <v>1524</v>
      </c>
      <c r="H42" s="13" t="s">
        <v>1517</v>
      </c>
      <c r="I42" s="13" t="s">
        <v>1009</v>
      </c>
    </row>
    <row r="43" spans="1:9" s="13" customFormat="1" ht="70">
      <c r="A43" s="58">
        <v>60</v>
      </c>
      <c r="B43" s="13" t="s">
        <v>2538</v>
      </c>
      <c r="C43" s="59" t="s">
        <v>2539</v>
      </c>
      <c r="D43" s="13" t="s">
        <v>1517</v>
      </c>
      <c r="F43" s="13" t="s">
        <v>1009</v>
      </c>
    </row>
    <row r="44" spans="1:9" s="13" customFormat="1" ht="28">
      <c r="A44" s="58">
        <v>6</v>
      </c>
      <c r="B44" s="13" t="s">
        <v>2540</v>
      </c>
      <c r="C44" s="59" t="s">
        <v>2541</v>
      </c>
      <c r="D44" s="13" t="s">
        <v>1527</v>
      </c>
      <c r="F44" s="13" t="s">
        <v>1009</v>
      </c>
    </row>
    <row r="45" spans="1:9" s="13" customFormat="1" ht="28">
      <c r="A45" s="58">
        <v>13</v>
      </c>
      <c r="B45" s="13" t="s">
        <v>2542</v>
      </c>
      <c r="C45" s="59" t="s">
        <v>2543</v>
      </c>
      <c r="D45" s="13" t="s">
        <v>1527</v>
      </c>
      <c r="F45" s="13" t="s">
        <v>1009</v>
      </c>
    </row>
    <row r="46" spans="1:9" s="13" customFormat="1" ht="28">
      <c r="A46" s="58">
        <v>15</v>
      </c>
      <c r="B46" s="13" t="s">
        <v>2544</v>
      </c>
      <c r="C46" s="59" t="s">
        <v>2545</v>
      </c>
      <c r="D46" s="13" t="s">
        <v>1527</v>
      </c>
      <c r="F46" s="13" t="s">
        <v>1009</v>
      </c>
    </row>
    <row r="47" spans="1:9" s="13" customFormat="1" ht="42">
      <c r="A47" s="58">
        <v>19</v>
      </c>
      <c r="B47" s="13" t="s">
        <v>2546</v>
      </c>
      <c r="C47" s="59" t="s">
        <v>2547</v>
      </c>
      <c r="D47" s="13" t="s">
        <v>1527</v>
      </c>
      <c r="F47" s="13" t="s">
        <v>1009</v>
      </c>
    </row>
    <row r="48" spans="1:9" s="13" customFormat="1" ht="42">
      <c r="A48" s="58">
        <v>26</v>
      </c>
      <c r="B48" s="13" t="s">
        <v>2548</v>
      </c>
      <c r="C48" s="59" t="s">
        <v>2549</v>
      </c>
      <c r="D48" s="13" t="s">
        <v>1527</v>
      </c>
      <c r="F48" s="13" t="s">
        <v>1009</v>
      </c>
    </row>
    <row r="49" spans="1:6" s="13" customFormat="1" ht="56">
      <c r="A49" s="58">
        <v>39</v>
      </c>
      <c r="B49" s="13" t="s">
        <v>2550</v>
      </c>
      <c r="C49" s="59" t="s">
        <v>2551</v>
      </c>
      <c r="D49" s="13" t="s">
        <v>1527</v>
      </c>
      <c r="F49" s="13" t="s">
        <v>1009</v>
      </c>
    </row>
    <row r="50" spans="1:6" s="13" customFormat="1" ht="28">
      <c r="A50" s="58">
        <v>42</v>
      </c>
      <c r="B50" s="13" t="s">
        <v>2552</v>
      </c>
      <c r="C50" s="59" t="s">
        <v>2553</v>
      </c>
      <c r="D50" s="13" t="s">
        <v>1527</v>
      </c>
      <c r="F50" s="13" t="s">
        <v>1009</v>
      </c>
    </row>
    <row r="51" spans="1:6" s="13" customFormat="1" ht="56">
      <c r="A51" s="58">
        <v>45</v>
      </c>
      <c r="B51" s="13" t="s">
        <v>2554</v>
      </c>
      <c r="C51" s="59" t="s">
        <v>2555</v>
      </c>
      <c r="D51" s="13" t="s">
        <v>1527</v>
      </c>
      <c r="F51" s="13" t="s">
        <v>1009</v>
      </c>
    </row>
    <row r="52" spans="1:6" s="13" customFormat="1" ht="28">
      <c r="A52" s="58">
        <v>57</v>
      </c>
      <c r="B52" s="13" t="s">
        <v>2556</v>
      </c>
      <c r="C52" s="59" t="s">
        <v>2557</v>
      </c>
      <c r="D52" s="13" t="s">
        <v>1527</v>
      </c>
      <c r="F52" s="13" t="s">
        <v>1009</v>
      </c>
    </row>
    <row r="53" spans="1:6" s="13" customFormat="1">
      <c r="A53" s="58"/>
      <c r="C53" s="60" t="s">
        <v>95</v>
      </c>
      <c r="D53" s="35">
        <f>COUNTA(D41:D52)</f>
        <v>12</v>
      </c>
    </row>
    <row r="54" spans="1:6" s="13" customFormat="1">
      <c r="A54" s="58"/>
      <c r="C54" s="59"/>
    </row>
    <row r="55" spans="1:6" s="13" customFormat="1">
      <c r="A55" s="58"/>
      <c r="C55" s="59"/>
    </row>
    <row r="56" spans="1:6" s="13" customFormat="1" ht="70">
      <c r="A56" s="58">
        <v>1</v>
      </c>
      <c r="B56" s="13" t="s">
        <v>2558</v>
      </c>
      <c r="C56" s="59" t="s">
        <v>2559</v>
      </c>
      <c r="D56" s="13" t="s">
        <v>1473</v>
      </c>
      <c r="F56" s="13" t="s">
        <v>1009</v>
      </c>
    </row>
    <row r="57" spans="1:6" s="13" customFormat="1" ht="28">
      <c r="A57" s="58">
        <v>2</v>
      </c>
      <c r="B57" s="13" t="s">
        <v>2560</v>
      </c>
      <c r="C57" s="59" t="s">
        <v>2561</v>
      </c>
      <c r="D57" s="13" t="s">
        <v>1473</v>
      </c>
      <c r="F57" s="13" t="s">
        <v>1009</v>
      </c>
    </row>
    <row r="58" spans="1:6" s="13" customFormat="1" ht="42">
      <c r="A58" s="58">
        <v>3</v>
      </c>
      <c r="B58" s="13" t="s">
        <v>2562</v>
      </c>
      <c r="C58" s="59" t="s">
        <v>2563</v>
      </c>
      <c r="D58" s="13" t="s">
        <v>1473</v>
      </c>
      <c r="F58" s="13" t="s">
        <v>1009</v>
      </c>
    </row>
    <row r="59" spans="1:6" s="13" customFormat="1" ht="42">
      <c r="A59" s="58">
        <v>4</v>
      </c>
      <c r="B59" s="13" t="s">
        <v>2564</v>
      </c>
      <c r="C59" s="59" t="s">
        <v>2565</v>
      </c>
      <c r="D59" s="13" t="s">
        <v>1473</v>
      </c>
      <c r="F59" s="13" t="s">
        <v>1009</v>
      </c>
    </row>
    <row r="60" spans="1:6" s="13" customFormat="1" ht="42">
      <c r="A60" s="58">
        <v>7</v>
      </c>
      <c r="B60" s="13" t="s">
        <v>2566</v>
      </c>
      <c r="C60" s="59" t="s">
        <v>2567</v>
      </c>
      <c r="D60" s="13" t="s">
        <v>1473</v>
      </c>
      <c r="F60" s="13" t="s">
        <v>1009</v>
      </c>
    </row>
    <row r="61" spans="1:6" s="13" customFormat="1" ht="28">
      <c r="A61" s="58">
        <v>8</v>
      </c>
      <c r="B61" s="13" t="s">
        <v>2568</v>
      </c>
      <c r="C61" s="59" t="s">
        <v>2569</v>
      </c>
      <c r="D61" s="13" t="s">
        <v>1473</v>
      </c>
      <c r="F61" s="13" t="s">
        <v>1009</v>
      </c>
    </row>
    <row r="62" spans="1:6" s="13" customFormat="1" ht="28">
      <c r="A62" s="58">
        <v>10</v>
      </c>
      <c r="B62" s="13" t="s">
        <v>2570</v>
      </c>
      <c r="C62" s="59" t="s">
        <v>2571</v>
      </c>
      <c r="D62" s="13" t="s">
        <v>1473</v>
      </c>
      <c r="F62" s="13" t="s">
        <v>1009</v>
      </c>
    </row>
    <row r="63" spans="1:6" s="13" customFormat="1" ht="42">
      <c r="A63" s="58">
        <v>11</v>
      </c>
      <c r="B63" s="13" t="s">
        <v>2572</v>
      </c>
      <c r="C63" s="59" t="s">
        <v>2573</v>
      </c>
      <c r="D63" s="13" t="s">
        <v>1473</v>
      </c>
      <c r="F63" s="13" t="s">
        <v>1009</v>
      </c>
    </row>
    <row r="64" spans="1:6" s="13" customFormat="1" ht="56">
      <c r="A64" s="58">
        <v>16</v>
      </c>
      <c r="B64" s="13" t="s">
        <v>2574</v>
      </c>
      <c r="C64" s="59" t="s">
        <v>2575</v>
      </c>
      <c r="D64" s="13" t="s">
        <v>1473</v>
      </c>
      <c r="F64" s="13" t="s">
        <v>1009</v>
      </c>
    </row>
    <row r="65" spans="1:6" s="13" customFormat="1" ht="42">
      <c r="A65" s="58">
        <v>21</v>
      </c>
      <c r="B65" s="13" t="s">
        <v>2576</v>
      </c>
      <c r="C65" s="59" t="s">
        <v>2577</v>
      </c>
      <c r="D65" s="13" t="s">
        <v>1473</v>
      </c>
      <c r="F65" s="13" t="s">
        <v>1009</v>
      </c>
    </row>
    <row r="66" spans="1:6" s="13" customFormat="1" ht="42">
      <c r="A66" s="58">
        <v>23</v>
      </c>
      <c r="B66" s="13" t="s">
        <v>2578</v>
      </c>
      <c r="C66" s="59" t="s">
        <v>2579</v>
      </c>
      <c r="D66" s="13" t="s">
        <v>1473</v>
      </c>
      <c r="F66" s="13" t="s">
        <v>1009</v>
      </c>
    </row>
    <row r="67" spans="1:6" s="13" customFormat="1" ht="28">
      <c r="A67" s="58">
        <v>25</v>
      </c>
      <c r="B67" s="13" t="s">
        <v>2580</v>
      </c>
      <c r="C67" s="59" t="s">
        <v>2581</v>
      </c>
      <c r="D67" s="13" t="s">
        <v>1473</v>
      </c>
      <c r="F67" s="13" t="s">
        <v>1009</v>
      </c>
    </row>
    <row r="68" spans="1:6" s="13" customFormat="1" ht="42">
      <c r="A68" s="58">
        <v>30</v>
      </c>
      <c r="B68" s="13" t="s">
        <v>2582</v>
      </c>
      <c r="C68" s="59" t="s">
        <v>2583</v>
      </c>
      <c r="D68" s="13" t="s">
        <v>1473</v>
      </c>
      <c r="F68" s="13" t="s">
        <v>1009</v>
      </c>
    </row>
    <row r="69" spans="1:6" s="13" customFormat="1" ht="56">
      <c r="A69" s="58">
        <v>31</v>
      </c>
      <c r="B69" s="13" t="s">
        <v>2584</v>
      </c>
      <c r="C69" s="59" t="s">
        <v>2585</v>
      </c>
      <c r="D69" s="13" t="s">
        <v>1473</v>
      </c>
      <c r="F69" s="13" t="s">
        <v>1009</v>
      </c>
    </row>
    <row r="70" spans="1:6" s="13" customFormat="1" ht="28">
      <c r="A70" s="58">
        <v>32</v>
      </c>
      <c r="B70" s="13" t="s">
        <v>2586</v>
      </c>
      <c r="C70" s="59" t="s">
        <v>2587</v>
      </c>
      <c r="D70" s="13" t="s">
        <v>1473</v>
      </c>
      <c r="F70" s="13" t="s">
        <v>1009</v>
      </c>
    </row>
    <row r="71" spans="1:6" s="13" customFormat="1" ht="28">
      <c r="A71" s="58">
        <v>33</v>
      </c>
      <c r="B71" s="13" t="s">
        <v>2588</v>
      </c>
      <c r="C71" s="59" t="s">
        <v>2589</v>
      </c>
      <c r="D71" s="13" t="s">
        <v>1473</v>
      </c>
      <c r="F71" s="13" t="s">
        <v>1009</v>
      </c>
    </row>
    <row r="72" spans="1:6" s="13" customFormat="1" ht="28">
      <c r="A72" s="58">
        <v>35</v>
      </c>
      <c r="B72" s="13" t="s">
        <v>2590</v>
      </c>
      <c r="C72" s="59" t="s">
        <v>2591</v>
      </c>
      <c r="D72" s="13" t="s">
        <v>1473</v>
      </c>
      <c r="F72" s="13" t="s">
        <v>1009</v>
      </c>
    </row>
    <row r="73" spans="1:6" s="13" customFormat="1" ht="56">
      <c r="A73" s="58">
        <v>36</v>
      </c>
      <c r="B73" s="13" t="s">
        <v>2592</v>
      </c>
      <c r="C73" s="59" t="s">
        <v>2593</v>
      </c>
      <c r="D73" s="13" t="s">
        <v>1473</v>
      </c>
      <c r="F73" s="13" t="s">
        <v>1009</v>
      </c>
    </row>
    <row r="74" spans="1:6" s="13" customFormat="1" ht="84">
      <c r="A74" s="58">
        <v>38</v>
      </c>
      <c r="B74" s="34" t="s">
        <v>2594</v>
      </c>
      <c r="C74" s="59" t="s">
        <v>2595</v>
      </c>
      <c r="D74" s="13" t="s">
        <v>1473</v>
      </c>
      <c r="F74" s="13" t="s">
        <v>1009</v>
      </c>
    </row>
    <row r="75" spans="1:6" s="13" customFormat="1" ht="28">
      <c r="A75" s="58">
        <v>40</v>
      </c>
      <c r="B75" s="13" t="s">
        <v>2596</v>
      </c>
      <c r="C75" s="59" t="s">
        <v>2597</v>
      </c>
      <c r="D75" s="13" t="s">
        <v>1473</v>
      </c>
      <c r="F75" s="13" t="s">
        <v>1009</v>
      </c>
    </row>
    <row r="76" spans="1:6" s="13" customFormat="1" ht="42">
      <c r="A76" s="58">
        <v>43</v>
      </c>
      <c r="B76" s="13" t="s">
        <v>2598</v>
      </c>
      <c r="C76" s="59" t="s">
        <v>2599</v>
      </c>
      <c r="D76" s="13" t="s">
        <v>1473</v>
      </c>
      <c r="F76" s="13" t="s">
        <v>1009</v>
      </c>
    </row>
    <row r="77" spans="1:6" s="13" customFormat="1" ht="28">
      <c r="A77" s="58">
        <v>47</v>
      </c>
      <c r="B77" s="13" t="s">
        <v>2600</v>
      </c>
      <c r="C77" s="59" t="s">
        <v>2601</v>
      </c>
      <c r="D77" s="13" t="s">
        <v>1473</v>
      </c>
      <c r="F77" s="13" t="s">
        <v>1009</v>
      </c>
    </row>
    <row r="78" spans="1:6" s="13" customFormat="1" ht="56">
      <c r="A78" s="58">
        <v>49</v>
      </c>
      <c r="B78" s="13" t="s">
        <v>2602</v>
      </c>
      <c r="C78" s="59" t="s">
        <v>2603</v>
      </c>
      <c r="D78" s="13" t="s">
        <v>1473</v>
      </c>
      <c r="F78" s="13" t="s">
        <v>1009</v>
      </c>
    </row>
    <row r="79" spans="1:6" s="13" customFormat="1" ht="56">
      <c r="A79" s="58">
        <v>50</v>
      </c>
      <c r="B79" s="13" t="s">
        <v>2604</v>
      </c>
      <c r="C79" s="59" t="s">
        <v>2605</v>
      </c>
      <c r="D79" s="13" t="s">
        <v>1473</v>
      </c>
      <c r="F79" s="13" t="s">
        <v>1009</v>
      </c>
    </row>
    <row r="80" spans="1:6" s="13" customFormat="1" ht="42">
      <c r="A80" s="58">
        <v>55</v>
      </c>
      <c r="B80" s="13" t="s">
        <v>2606</v>
      </c>
      <c r="C80" s="59" t="s">
        <v>2607</v>
      </c>
      <c r="D80" s="13" t="s">
        <v>1473</v>
      </c>
      <c r="F80" s="13" t="s">
        <v>1009</v>
      </c>
    </row>
    <row r="81" spans="1:9" s="13" customFormat="1" ht="28">
      <c r="A81" s="58">
        <v>59</v>
      </c>
      <c r="B81" s="13" t="s">
        <v>2608</v>
      </c>
      <c r="C81" s="59" t="s">
        <v>2609</v>
      </c>
      <c r="D81" s="13" t="s">
        <v>1473</v>
      </c>
      <c r="F81" s="13" t="s">
        <v>1009</v>
      </c>
    </row>
    <row r="82" spans="1:9" s="13" customFormat="1" ht="28">
      <c r="A82" s="58">
        <v>61</v>
      </c>
      <c r="B82" s="13" t="s">
        <v>2610</v>
      </c>
      <c r="C82" s="59" t="s">
        <v>2611</v>
      </c>
      <c r="D82" s="13" t="s">
        <v>1473</v>
      </c>
      <c r="F82" s="13" t="s">
        <v>1009</v>
      </c>
    </row>
    <row r="83" spans="1:9" s="13" customFormat="1" ht="28">
      <c r="A83" s="58">
        <v>64</v>
      </c>
      <c r="B83" s="13" t="s">
        <v>2612</v>
      </c>
      <c r="C83" s="59" t="s">
        <v>2613</v>
      </c>
      <c r="D83" s="13" t="s">
        <v>1473</v>
      </c>
      <c r="F83" s="13" t="s">
        <v>1009</v>
      </c>
    </row>
    <row r="84" spans="1:9" s="13" customFormat="1" ht="42">
      <c r="A84" s="58">
        <v>65</v>
      </c>
      <c r="B84" s="13" t="s">
        <v>2614</v>
      </c>
      <c r="C84" s="59" t="s">
        <v>2615</v>
      </c>
      <c r="D84" s="13" t="s">
        <v>1473</v>
      </c>
      <c r="F84" s="13" t="s">
        <v>1009</v>
      </c>
    </row>
    <row r="85" spans="1:9" s="13" customFormat="1">
      <c r="A85" s="58"/>
      <c r="C85" s="60" t="s">
        <v>95</v>
      </c>
      <c r="D85" s="35">
        <f>COUNTA(D56:D84)</f>
        <v>29</v>
      </c>
    </row>
    <row r="86" spans="1:9" s="13" customFormat="1">
      <c r="A86" s="58"/>
      <c r="C86" s="59"/>
    </row>
    <row r="87" spans="1:9" s="13" customFormat="1">
      <c r="A87" s="58"/>
      <c r="C87" s="59"/>
    </row>
    <row r="88" spans="1:9" s="13" customFormat="1" ht="42">
      <c r="A88" s="58">
        <v>20</v>
      </c>
      <c r="B88" s="13" t="s">
        <v>2616</v>
      </c>
      <c r="C88" s="59" t="s">
        <v>2617</v>
      </c>
      <c r="F88" s="13" t="s">
        <v>1010</v>
      </c>
      <c r="G88" s="13" t="s">
        <v>1514</v>
      </c>
      <c r="H88" s="34" t="s">
        <v>1527</v>
      </c>
      <c r="I88" s="13" t="s">
        <v>1009</v>
      </c>
    </row>
    <row r="89" spans="1:9" s="13" customFormat="1" ht="28">
      <c r="A89" s="58">
        <v>22</v>
      </c>
      <c r="B89" s="13" t="s">
        <v>2618</v>
      </c>
      <c r="C89" s="59" t="s">
        <v>2619</v>
      </c>
      <c r="F89" s="13" t="s">
        <v>1010</v>
      </c>
      <c r="G89" s="13" t="s">
        <v>1514</v>
      </c>
      <c r="H89" s="13" t="s">
        <v>1527</v>
      </c>
      <c r="I89" s="13" t="s">
        <v>1009</v>
      </c>
    </row>
    <row r="90" spans="1:9" s="13" customFormat="1" ht="42">
      <c r="A90" s="58">
        <v>44</v>
      </c>
      <c r="B90" s="13" t="s">
        <v>2620</v>
      </c>
      <c r="C90" s="59" t="s">
        <v>2621</v>
      </c>
      <c r="F90" s="13" t="s">
        <v>1010</v>
      </c>
      <c r="G90" s="13" t="s">
        <v>1514</v>
      </c>
      <c r="H90" s="13" t="s">
        <v>1514</v>
      </c>
      <c r="I90" s="13" t="s">
        <v>1009</v>
      </c>
    </row>
    <row r="91" spans="1:9" s="13" customFormat="1" ht="28">
      <c r="A91" s="58">
        <v>51</v>
      </c>
      <c r="B91" s="13" t="s">
        <v>2622</v>
      </c>
      <c r="C91" s="59" t="s">
        <v>2623</v>
      </c>
      <c r="F91" s="13" t="s">
        <v>1010</v>
      </c>
      <c r="G91" s="13" t="s">
        <v>1514</v>
      </c>
      <c r="H91" s="13" t="s">
        <v>1527</v>
      </c>
      <c r="I91" s="13" t="s">
        <v>1009</v>
      </c>
    </row>
    <row r="92" spans="1:9" s="13" customFormat="1" ht="28">
      <c r="A92" s="58">
        <v>54</v>
      </c>
      <c r="B92" s="13" t="s">
        <v>2624</v>
      </c>
      <c r="C92" s="59" t="s">
        <v>2625</v>
      </c>
      <c r="F92" s="13" t="s">
        <v>1010</v>
      </c>
      <c r="G92" s="13" t="s">
        <v>1514</v>
      </c>
      <c r="H92" s="13" t="s">
        <v>1514</v>
      </c>
      <c r="I92" s="13" t="s">
        <v>1009</v>
      </c>
    </row>
    <row r="93" spans="1:9" s="13" customFormat="1" ht="28">
      <c r="A93" s="58">
        <v>62</v>
      </c>
      <c r="B93" s="13" t="s">
        <v>2626</v>
      </c>
      <c r="C93" s="59" t="s">
        <v>2627</v>
      </c>
      <c r="F93" s="13" t="s">
        <v>1010</v>
      </c>
      <c r="G93" s="13" t="s">
        <v>1514</v>
      </c>
      <c r="H93" s="13" t="s">
        <v>1517</v>
      </c>
      <c r="I93" s="13" t="s">
        <v>1009</v>
      </c>
    </row>
    <row r="94" spans="1:9" s="13" customFormat="1" ht="28">
      <c r="A94" s="58">
        <v>66</v>
      </c>
      <c r="B94" s="13" t="s">
        <v>2628</v>
      </c>
      <c r="C94" s="59" t="s">
        <v>2629</v>
      </c>
      <c r="F94" s="13" t="s">
        <v>1010</v>
      </c>
      <c r="G94" s="13" t="s">
        <v>1514</v>
      </c>
      <c r="H94" s="13" t="s">
        <v>1517</v>
      </c>
      <c r="I94" s="13" t="s">
        <v>1009</v>
      </c>
    </row>
    <row r="95" spans="1:9" s="13" customFormat="1" ht="28">
      <c r="A95" s="58">
        <v>67</v>
      </c>
      <c r="B95" s="13" t="s">
        <v>170</v>
      </c>
      <c r="C95" s="59" t="s">
        <v>2630</v>
      </c>
      <c r="F95" s="13" t="s">
        <v>1010</v>
      </c>
      <c r="G95" s="13" t="s">
        <v>1514</v>
      </c>
      <c r="H95" s="13" t="s">
        <v>2631</v>
      </c>
      <c r="I95" s="13" t="s">
        <v>1009</v>
      </c>
    </row>
    <row r="96" spans="1:9" s="13" customFormat="1" ht="42">
      <c r="A96" s="58">
        <v>68</v>
      </c>
      <c r="B96" s="13" t="s">
        <v>2632</v>
      </c>
      <c r="C96" s="59" t="s">
        <v>2633</v>
      </c>
      <c r="F96" s="13" t="s">
        <v>1010</v>
      </c>
      <c r="G96" s="13" t="s">
        <v>1524</v>
      </c>
      <c r="H96" s="13" t="s">
        <v>1514</v>
      </c>
      <c r="I96" s="13" t="s">
        <v>1009</v>
      </c>
    </row>
    <row r="97" spans="1:9" s="13" customFormat="1" ht="42">
      <c r="A97" s="58">
        <v>69</v>
      </c>
      <c r="B97" s="13" t="s">
        <v>2634</v>
      </c>
      <c r="C97" s="59" t="s">
        <v>2635</v>
      </c>
      <c r="F97" s="13" t="s">
        <v>1010</v>
      </c>
      <c r="G97" s="13" t="s">
        <v>1524</v>
      </c>
      <c r="H97" s="13" t="s">
        <v>1514</v>
      </c>
      <c r="I97" s="13" t="s">
        <v>1009</v>
      </c>
    </row>
    <row r="98" spans="1:9" s="13" customFormat="1" ht="42">
      <c r="A98" s="58">
        <v>71</v>
      </c>
      <c r="B98" s="13" t="s">
        <v>2636</v>
      </c>
      <c r="C98" s="59" t="s">
        <v>2637</v>
      </c>
      <c r="F98" s="13" t="s">
        <v>1010</v>
      </c>
      <c r="G98" s="13" t="s">
        <v>1514</v>
      </c>
      <c r="H98" s="13" t="s">
        <v>1517</v>
      </c>
      <c r="I98" s="13" t="s">
        <v>1009</v>
      </c>
    </row>
    <row r="99" spans="1:9" s="13" customFormat="1" ht="28">
      <c r="A99" s="58">
        <v>72</v>
      </c>
      <c r="B99" s="34" t="s">
        <v>2638</v>
      </c>
      <c r="C99" s="59" t="s">
        <v>2639</v>
      </c>
      <c r="F99" s="13" t="s">
        <v>1010</v>
      </c>
      <c r="G99" s="13" t="s">
        <v>1524</v>
      </c>
      <c r="H99" s="13" t="s">
        <v>1527</v>
      </c>
      <c r="I99" s="13" t="s">
        <v>1009</v>
      </c>
    </row>
    <row r="100" spans="1:9" s="13" customFormat="1" ht="42">
      <c r="A100" s="58">
        <v>73</v>
      </c>
      <c r="B100" s="13" t="s">
        <v>2640</v>
      </c>
      <c r="C100" s="59" t="s">
        <v>2641</v>
      </c>
      <c r="F100" s="13" t="s">
        <v>1010</v>
      </c>
      <c r="G100" s="13" t="s">
        <v>1514</v>
      </c>
      <c r="H100" s="13" t="s">
        <v>1514</v>
      </c>
      <c r="I100" s="13" t="s">
        <v>1009</v>
      </c>
    </row>
    <row r="101" spans="1:9" s="13" customFormat="1" ht="42">
      <c r="A101" s="58">
        <v>74</v>
      </c>
      <c r="B101" s="13" t="s">
        <v>2642</v>
      </c>
      <c r="C101" s="59" t="s">
        <v>2643</v>
      </c>
      <c r="F101" s="13" t="s">
        <v>1010</v>
      </c>
      <c r="G101" s="13" t="s">
        <v>1514</v>
      </c>
      <c r="H101" s="13" t="s">
        <v>1514</v>
      </c>
      <c r="I101" s="13" t="s">
        <v>1009</v>
      </c>
    </row>
    <row r="102" spans="1:9" s="13" customFormat="1" ht="28">
      <c r="A102" s="58">
        <v>48</v>
      </c>
      <c r="B102" s="13" t="s">
        <v>2536</v>
      </c>
      <c r="C102" s="59" t="s">
        <v>2537</v>
      </c>
      <c r="D102" s="13" t="s">
        <v>1517</v>
      </c>
      <c r="F102" s="13" t="s">
        <v>1010</v>
      </c>
      <c r="G102" s="34" t="s">
        <v>1524</v>
      </c>
      <c r="H102" s="13" t="s">
        <v>1517</v>
      </c>
      <c r="I102" s="13" t="s">
        <v>1009</v>
      </c>
    </row>
    <row r="103" spans="1:9" s="13" customFormat="1">
      <c r="C103" s="59"/>
      <c r="E103" s="35" t="s">
        <v>95</v>
      </c>
      <c r="F103" s="35">
        <f>COUNTA(F88:F102)</f>
        <v>15</v>
      </c>
    </row>
  </sheetData>
  <hyperlinks>
    <hyperlink ref="A56" r:id="rId1" display="http://www.westlaw.com/Find/Default.wl?rs=dfa1.0&amp;vr=2.0&amp;DB=506&amp;FindType=Y&amp;SerialNum=1997198327"/>
    <hyperlink ref="A57" r:id="rId2" display="http://www.westlaw.com/Find/Default.wl?rs=dfa1.0&amp;vr=2.0&amp;DB=506&amp;FindType=Y&amp;SerialNum=1997195876"/>
    <hyperlink ref="A58" r:id="rId3" display="http://www.westlaw.com/Find/Default.wl?rs=dfa1.0&amp;vr=2.0&amp;DB=506&amp;FindType=Y&amp;SerialNum=1997193734"/>
    <hyperlink ref="A59" r:id="rId4" display="http://www.westlaw.com/Find/Default.wl?rs=dfa1.0&amp;vr=2.0&amp;DB=506&amp;FindType=Y&amp;SerialNum=1997178567"/>
    <hyperlink ref="A20" r:id="rId5" display="http://www.westlaw.com/Find/Default.wl?rs=dfa1.0&amp;vr=2.0&amp;DB=506&amp;FindType=Y&amp;SerialNum=1997177901"/>
    <hyperlink ref="A44" r:id="rId6" display="http://www.westlaw.com/Find/Default.wl?rs=dfa1.0&amp;vr=2.0&amp;DB=506&amp;FindType=Y&amp;SerialNum=1997170145"/>
    <hyperlink ref="A60" r:id="rId7" display="http://www.westlaw.com/Find/Default.wl?rs=dfa1.0&amp;vr=2.0&amp;DB=506&amp;FindType=Y&amp;SerialNum=1997164132"/>
    <hyperlink ref="A61" r:id="rId8" display="http://www.westlaw.com/Find/Default.wl?rs=dfa1.0&amp;vr=2.0&amp;DB=506&amp;FindType=Y&amp;SerialNum=1997162233"/>
    <hyperlink ref="A41" r:id="rId9" display="http://www.westlaw.com/Find/Default.wl?rs=dfa1.0&amp;vr=2.0&amp;DB=506&amp;FindType=Y&amp;SerialNum=1997162240"/>
    <hyperlink ref="A62" r:id="rId10" display="http://www.westlaw.com/Find/Default.wl?rs=dfa1.0&amp;vr=2.0&amp;DB=506&amp;FindType=Y&amp;SerialNum=1997169237"/>
    <hyperlink ref="A63" r:id="rId11" display="http://www.westlaw.com/Find/Default.wl?rs=dfa1.0&amp;vr=2.0&amp;DB=506&amp;FindType=Y&amp;SerialNum=1997183725"/>
    <hyperlink ref="A33" r:id="rId12" display="http://www.westlaw.com/Find/Default.wl?rs=dfa1.0&amp;vr=2.0&amp;DB=506&amp;FindType=Y&amp;SerialNum=1997158521"/>
    <hyperlink ref="A45" r:id="rId13" display="http://www.westlaw.com/Find/Default.wl?rs=dfa1.0&amp;vr=2.0&amp;DB=506&amp;FindType=Y&amp;SerialNum=1997156296"/>
    <hyperlink ref="A21" r:id="rId14" display="http://www.westlaw.com/Find/Default.wl?rs=dfa1.0&amp;vr=2.0&amp;DB=506&amp;FindType=Y&amp;SerialNum=1997155461"/>
    <hyperlink ref="A46" r:id="rId15" display="http://www.westlaw.com/Find/Default.wl?rs=dfa1.0&amp;vr=2.0&amp;DB=506&amp;FindType=Y&amp;SerialNum=1997154158"/>
    <hyperlink ref="A64" r:id="rId16" display="http://www.westlaw.com/Find/Default.wl?rs=dfa1.0&amp;vr=2.0&amp;DB=506&amp;FindType=Y&amp;SerialNum=1997154180"/>
    <hyperlink ref="A22" r:id="rId17" display="http://www.westlaw.com/Find/Default.wl?rs=dfa1.0&amp;vr=2.0&amp;DB=506&amp;FindType=Y&amp;SerialNum=1997151941"/>
    <hyperlink ref="A23" r:id="rId18" display="http://www.westlaw.com/Find/Default.wl?rs=dfa1.0&amp;vr=2.0&amp;DB=506&amp;FindType=Y&amp;SerialNum=1997147503"/>
    <hyperlink ref="A47" r:id="rId19" display="http://www.westlaw.com/Find/Default.wl?rs=dfa1.0&amp;vr=2.0&amp;DB=506&amp;FindType=Y&amp;SerialNum=1997140954"/>
    <hyperlink ref="A88" r:id="rId20" display="http://www.westlaw.com/Find/Default.wl?rs=dfa1.0&amp;vr=2.0&amp;DB=506&amp;FindType=Y&amp;SerialNum=1997137071"/>
    <hyperlink ref="A65" r:id="rId21" display="http://www.westlaw.com/Find/Default.wl?rs=dfa1.0&amp;vr=2.0&amp;DB=506&amp;FindType=Y&amp;SerialNum=1997129444"/>
    <hyperlink ref="A89" r:id="rId22" display="http://www.westlaw.com/Find/Default.wl?rs=dfa1.0&amp;vr=2.0&amp;DB=506&amp;FindType=Y&amp;SerialNum=1997126236"/>
    <hyperlink ref="A66" r:id="rId23" display="http://www.westlaw.com/Find/Default.wl?rs=dfa1.0&amp;vr=2.0&amp;DB=506&amp;FindType=Y&amp;SerialNum=1997125151"/>
    <hyperlink ref="A24" r:id="rId24" display="http://www.westlaw.com/Find/Default.wl?rs=dfa1.0&amp;vr=2.0&amp;DB=506&amp;FindType=Y&amp;SerialNum=1997124449"/>
    <hyperlink ref="A67" r:id="rId25" display="http://www.westlaw.com/Find/Default.wl?rs=dfa1.0&amp;vr=2.0&amp;DB=506&amp;FindType=Y&amp;SerialNum=1997122915"/>
    <hyperlink ref="A48" r:id="rId26" display="http://www.westlaw.com/Find/Default.wl?rs=dfa1.0&amp;vr=2.0&amp;DB=506&amp;FindType=Y&amp;SerialNum=1997118818"/>
    <hyperlink ref="A38" r:id="rId27" display="http://www.westlaw.com/Find/Default.wl?rs=dfa1.0&amp;vr=2.0&amp;DB=506&amp;FindType=Y&amp;SerialNum=1997115362"/>
    <hyperlink ref="A25" r:id="rId28" display="http://www.westlaw.com/Find/Default.wl?rs=dfa1.0&amp;vr=2.0&amp;DB=506&amp;FindType=Y&amp;SerialNum=1997114589"/>
    <hyperlink ref="A68" r:id="rId29" display="http://www.westlaw.com/Find/Default.wl?rs=dfa1.0&amp;vr=2.0&amp;DB=506&amp;FindType=Y&amp;SerialNum=1997109312"/>
    <hyperlink ref="A69" r:id="rId30" display="http://www.westlaw.com/Find/Default.wl?rs=dfa1.0&amp;vr=2.0&amp;DB=506&amp;FindType=Y&amp;SerialNum=1997109313"/>
    <hyperlink ref="A70" r:id="rId31" display="http://www.westlaw.com/Find/Default.wl?rs=dfa1.0&amp;vr=2.0&amp;DB=506&amp;FindType=Y&amp;SerialNum=1997109314"/>
    <hyperlink ref="A71" r:id="rId32" display="http://www.westlaw.com/Find/Default.wl?rs=dfa1.0&amp;vr=2.0&amp;DB=506&amp;FindType=Y&amp;SerialNum=1997107711"/>
    <hyperlink ref="A26" r:id="rId33" display="http://www.westlaw.com/Find/Default.wl?rs=dfa1.0&amp;vr=2.0&amp;DB=506&amp;FindType=Y&amp;SerialNum=1997104069"/>
    <hyperlink ref="A72" r:id="rId34" display="http://www.westlaw.com/Find/Default.wl?rs=dfa1.0&amp;vr=2.0&amp;DB=506&amp;FindType=Y&amp;SerialNum=1997103101"/>
    <hyperlink ref="A73" r:id="rId35" display="http://www.westlaw.com/Find/Default.wl?rs=dfa1.0&amp;vr=2.0&amp;DB=506&amp;FindType=Y&amp;SerialNum=1997102065"/>
    <hyperlink ref="A34" r:id="rId36" display="http://www.westlaw.com/Find/Default.wl?rs=dfa1.0&amp;vr=2.0&amp;DB=506&amp;FindType=Y&amp;SerialNum=1997098479"/>
    <hyperlink ref="A74" r:id="rId37" display="http://www.westlaw.com/Find/Default.wl?rs=dfa1.0&amp;vr=2.0&amp;DB=506&amp;FindType=Y&amp;SerialNum=1997089351"/>
    <hyperlink ref="A49" r:id="rId38" display="http://www.westlaw.com/Find/Default.wl?rs=dfa1.0&amp;vr=2.0&amp;DB=506&amp;FindType=Y&amp;SerialNum=1997089353"/>
    <hyperlink ref="A75" r:id="rId39" display="http://www.westlaw.com/Find/Default.wl?rs=dfa1.0&amp;vr=2.0&amp;DB=506&amp;FindType=Y&amp;SerialNum=1997087172"/>
    <hyperlink ref="A50" r:id="rId40" display="http://www.westlaw.com/Find/Default.wl?rs=dfa1.0&amp;vr=2.0&amp;DB=506&amp;FindType=Y&amp;SerialNum=1997078038"/>
    <hyperlink ref="A76" r:id="rId41" display="http://www.westlaw.com/Find/Default.wl?rs=dfa1.0&amp;vr=2.0&amp;DB=506&amp;FindType=Y&amp;SerialNum=1997076479"/>
    <hyperlink ref="A90" r:id="rId42" display="http://www.westlaw.com/Find/Default.wl?rs=dfa1.0&amp;vr=2.0&amp;DB=506&amp;FindType=Y&amp;SerialNum=1997066886"/>
    <hyperlink ref="A51" r:id="rId43" display="http://www.westlaw.com/Find/Default.wl?rs=dfa1.0&amp;vr=2.0&amp;DB=506&amp;FindType=Y&amp;SerialNum=1997062586"/>
    <hyperlink ref="A77" r:id="rId44" display="http://www.westlaw.com/Find/Default.wl?rs=dfa1.0&amp;vr=2.0&amp;DB=506&amp;FindType=Y&amp;SerialNum=1997058612"/>
    <hyperlink ref="A42" r:id="rId45" display="http://www.westlaw.com/Find/Default.wl?rs=dfa1.0&amp;vr=2.0&amp;DB=506&amp;FindType=Y&amp;SerialNum=1997055863"/>
    <hyperlink ref="A78" r:id="rId46" display="http://www.westlaw.com/Find/Default.wl?rs=dfa1.0&amp;vr=2.0&amp;DB=506&amp;FindType=Y&amp;SerialNum=1997057777"/>
    <hyperlink ref="A79" r:id="rId47" display="http://www.westlaw.com/Find/Default.wl?rs=dfa1.0&amp;vr=2.0&amp;DB=506&amp;FindType=Y&amp;SerialNum=1997049459"/>
    <hyperlink ref="A91" r:id="rId48" display="http://www.westlaw.com/Find/Default.wl?rs=dfa1.0&amp;vr=2.0&amp;DB=506&amp;FindType=Y&amp;SerialNum=1997045420"/>
    <hyperlink ref="A27" r:id="rId49" display="http://www.westlaw.com/Find/Default.wl?rs=dfa1.0&amp;vr=2.0&amp;DB=506&amp;FindType=Y&amp;SerialNum=1997037222"/>
    <hyperlink ref="A28" r:id="rId50" display="http://www.westlaw.com/Find/Default.wl?rs=dfa1.0&amp;vr=2.0&amp;DB=506&amp;FindType=Y&amp;SerialNum=1997034144"/>
    <hyperlink ref="A92" r:id="rId51" display="http://www.westlaw.com/Find/Default.wl?rs=dfa1.0&amp;vr=2.0&amp;DB=506&amp;FindType=Y&amp;SerialNum=1997034429"/>
    <hyperlink ref="A80" r:id="rId52" display="http://www.westlaw.com/Find/Default.wl?rs=dfa1.0&amp;vr=2.0&amp;DB=506&amp;FindType=Y&amp;SerialNum=1997031422"/>
    <hyperlink ref="A29" r:id="rId53" display="http://www.westlaw.com/Find/Default.wl?rs=dfa1.0&amp;vr=2.0&amp;DB=506&amp;FindType=Y&amp;SerialNum=1997024206"/>
    <hyperlink ref="A52" r:id="rId54" display="http://www.westlaw.com/Find/Default.wl?rs=dfa1.0&amp;vr=2.0&amp;DB=506&amp;FindType=Y&amp;SerialNum=1996283416"/>
    <hyperlink ref="A30" r:id="rId55" display="http://www.westlaw.com/Find/Default.wl?rs=dfa1.0&amp;vr=2.0&amp;DB=506&amp;FindType=Y&amp;SerialNum=1996267661"/>
    <hyperlink ref="A81" r:id="rId56" display="http://www.westlaw.com/Find/Default.wl?rs=dfa1.0&amp;vr=2.0&amp;DB=506&amp;FindType=Y&amp;SerialNum=1996266835"/>
    <hyperlink ref="A43" r:id="rId57" display="http://www.westlaw.com/Find/Default.wl?rs=dfa1.0&amp;vr=2.0&amp;DB=506&amp;FindType=Y&amp;SerialNum=1996254630"/>
    <hyperlink ref="A82" r:id="rId58" display="http://www.westlaw.com/Find/Default.wl?rs=dfa1.0&amp;vr=2.0&amp;DB=506&amp;FindType=Y&amp;SerialNum=1996235476"/>
    <hyperlink ref="A93" r:id="rId59" display="http://www.westlaw.com/Find/Default.wl?rs=dfa1.0&amp;vr=2.0&amp;DB=506&amp;FindType=Y&amp;SerialNum=1996235500"/>
    <hyperlink ref="A83" r:id="rId60" display="http://www.westlaw.com/Find/Default.wl?rs=dfa1.0&amp;vr=2.0&amp;DB=506&amp;FindType=Y&amp;SerialNum=1996228545"/>
    <hyperlink ref="A84" r:id="rId61" display="http://www.westlaw.com/Find/Default.wl?rs=dfa1.0&amp;vr=2.0&amp;DB=506&amp;FindType=Y&amp;SerialNum=1996228565"/>
    <hyperlink ref="A94" r:id="rId62" display="http://www.westlaw.com/Find/Default.wl?rs=dfa1.0&amp;vr=2.0&amp;FindType=Y&amp;SerialNum=1997146233"/>
    <hyperlink ref="A95" r:id="rId63" display="http://www.westlaw.com/Find/Default.wl?rs=dfa1.0&amp;vr=2.0&amp;FindType=Y&amp;SerialNum=1997167020"/>
    <hyperlink ref="A96" r:id="rId64" display="http://www.westlaw.com/Find/Default.wl?rs=dfa1.0&amp;vr=2.0&amp;DB=345&amp;FindType=Y&amp;SerialNum=1997105941"/>
    <hyperlink ref="A97" r:id="rId65" display="http://www.westlaw.com/Find/Default.wl?rs=dfa1.0&amp;vr=2.0&amp;DB=345&amp;FindType=Y&amp;SerialNum=1997073766"/>
    <hyperlink ref="A98" r:id="rId66" display="http://www.westlaw.com/Find/Default.wl?rs=dfa1.0&amp;vr=2.0&amp;DB=345&amp;FindType=Y&amp;SerialNum=1997060602"/>
    <hyperlink ref="A99" r:id="rId67" display="http://www.westlaw.com/Find/Default.wl?rs=dfa1.0&amp;vr=2.0&amp;DB=345&amp;FindType=Y&amp;SerialNum=1997043779"/>
    <hyperlink ref="A100" r:id="rId68" display="http://www.westlaw.com/Find/Default.wl?rs=dfa1.0&amp;vr=2.0&amp;FindType=Y&amp;SerialNum=1997023856"/>
    <hyperlink ref="A101" r:id="rId69" display="http://www.westlaw.com/Find/Default.wl?rs=dfa1.0&amp;vr=2.0&amp;FindType=Y&amp;SerialNum=1996256408"/>
    <hyperlink ref="A102" r:id="rId70" display="http://www.westlaw.com/Find/Default.wl?rs=dfa1.0&amp;vr=2.0&amp;DB=506&amp;FindType=Y&amp;SerialNum=1997055863"/>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Statistics</vt:lpstr>
      <vt:lpstr>1989</vt:lpstr>
      <vt:lpstr>1990</vt:lpstr>
      <vt:lpstr>1991</vt:lpstr>
      <vt:lpstr>1992</vt:lpstr>
      <vt:lpstr>1993</vt:lpstr>
      <vt:lpstr>1994</vt:lpstr>
      <vt:lpstr>1995</vt:lpstr>
      <vt:lpstr>1996</vt:lpstr>
      <vt:lpstr>1997</vt:lpstr>
      <vt:lpstr>1998</vt:lpstr>
      <vt:lpstr>1999</vt:lpstr>
      <vt:lpstr>2000</vt:lpstr>
      <vt:lpstr>2001</vt:lpstr>
      <vt:lpstr>2002</vt:lpstr>
      <vt:lpstr>2003</vt:lpstr>
      <vt:lpstr>2004</vt:lpstr>
      <vt:lpstr>2005 (3d Cir)</vt:lpstr>
      <vt:lpstr>2005 (S.Ct.)</vt:lpstr>
      <vt:lpstr>2006</vt:lpstr>
      <vt:lpstr>2007</vt:lpstr>
      <vt:lpstr>2008</vt:lpstr>
      <vt:lpstr>2009</vt:lpstr>
      <vt:lpstr>2010</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Rust</dc:creator>
  <cp:lastModifiedBy>Ross</cp:lastModifiedBy>
  <dcterms:created xsi:type="dcterms:W3CDTF">2011-06-02T21:58:18Z</dcterms:created>
  <dcterms:modified xsi:type="dcterms:W3CDTF">2012-09-29T02:55:49Z</dcterms:modified>
</cp:coreProperties>
</file>